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05"/>
  <fileSharing readOnlyRecommended="1"/>
  <workbookPr autoCompressPictures="0"/>
  <mc:AlternateContent xmlns:mc="http://schemas.openxmlformats.org/markup-compatibility/2006">
    <mc:Choice Requires="x15">
      <x15ac:absPath xmlns:x15ac="http://schemas.microsoft.com/office/spreadsheetml/2010/11/ac" url="F:\Docs\CR games\0Agoraphobia\The Contingency\"/>
    </mc:Choice>
  </mc:AlternateContent>
  <xr:revisionPtr revIDLastSave="0" documentId="8_{1D476273-AE66-44E9-9B16-C8FEE01031EA}" xr6:coauthVersionLast="44" xr6:coauthVersionMax="44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N124" i="2" l="1"/>
  <c r="CD122" i="2"/>
  <c r="BY122" i="2"/>
  <c r="BI122" i="2"/>
  <c r="CD120" i="2"/>
  <c r="BY120" i="2"/>
  <c r="BI120" i="2"/>
  <c r="CD118" i="2"/>
  <c r="BY118" i="2"/>
  <c r="BI118" i="2"/>
  <c r="CD116" i="2"/>
  <c r="BY116" i="2"/>
  <c r="BI116" i="2"/>
  <c r="CD114" i="2"/>
  <c r="BY114" i="2"/>
  <c r="BI114" i="2"/>
  <c r="CD112" i="2"/>
  <c r="BY112" i="2"/>
  <c r="BI112" i="2"/>
  <c r="CD110" i="2"/>
  <c r="BY110" i="2"/>
  <c r="BI110" i="2"/>
  <c r="CD108" i="2"/>
  <c r="BY108" i="2"/>
  <c r="BI108" i="2"/>
  <c r="CD106" i="2"/>
  <c r="BY106" i="2"/>
  <c r="BI106" i="2"/>
  <c r="BY104" i="2"/>
  <c r="BI104" i="2"/>
  <c r="BY102" i="2"/>
  <c r="BI102" i="2"/>
  <c r="CD100" i="2"/>
  <c r="BY100" i="2"/>
  <c r="BI100" i="2"/>
  <c r="BY98" i="2"/>
  <c r="BI98" i="2"/>
  <c r="BY96" i="2"/>
  <c r="BI96" i="2"/>
  <c r="BY94" i="2"/>
  <c r="BI94" i="2"/>
  <c r="CD92" i="2"/>
  <c r="BY92" i="2"/>
  <c r="BI92" i="2"/>
  <c r="CD90" i="2"/>
  <c r="BY90" i="2"/>
  <c r="BI90" i="2"/>
  <c r="BY88" i="2"/>
  <c r="BI88" i="2"/>
  <c r="BY86" i="2"/>
  <c r="BI86" i="2"/>
  <c r="BY84" i="2"/>
  <c r="BI84" i="2"/>
  <c r="CD82" i="2"/>
  <c r="BY82" i="2"/>
  <c r="BI82" i="2"/>
  <c r="CD80" i="2"/>
  <c r="BY80" i="2"/>
  <c r="BI80" i="2"/>
  <c r="CD78" i="2"/>
  <c r="BY78" i="2"/>
  <c r="BI78" i="2"/>
  <c r="CD76" i="2"/>
  <c r="BY76" i="2"/>
  <c r="BI76" i="2"/>
  <c r="CD74" i="2"/>
  <c r="BY74" i="2"/>
  <c r="BI74" i="2"/>
  <c r="BY72" i="2"/>
  <c r="BI72" i="2"/>
  <c r="BY70" i="2"/>
  <c r="BI70" i="2"/>
  <c r="CD68" i="2"/>
  <c r="BY68" i="2"/>
  <c r="BI68" i="2"/>
  <c r="CD66" i="2"/>
  <c r="BY66" i="2"/>
  <c r="BI66" i="2"/>
  <c r="CD64" i="2"/>
  <c r="BY64" i="2"/>
  <c r="BI64" i="2"/>
  <c r="CD62" i="2"/>
  <c r="BY62" i="2"/>
  <c r="BI62" i="2"/>
  <c r="BY60" i="2"/>
  <c r="BI60" i="2"/>
  <c r="BY58" i="2"/>
  <c r="BI58" i="2"/>
  <c r="BY56" i="2"/>
  <c r="BI56" i="2"/>
  <c r="BY54" i="2"/>
  <c r="BI54" i="2"/>
  <c r="BY52" i="2"/>
  <c r="BI52" i="2"/>
  <c r="CD50" i="2"/>
  <c r="BY50" i="2"/>
  <c r="BI50" i="2"/>
  <c r="BY48" i="2"/>
  <c r="BI48" i="2"/>
  <c r="S48" i="2"/>
  <c r="BY46" i="2"/>
  <c r="BI46" i="2"/>
  <c r="BY44" i="2"/>
  <c r="BI44" i="2"/>
  <c r="AH44" i="2"/>
  <c r="S44" i="2"/>
  <c r="BY42" i="2"/>
  <c r="BI42" i="2"/>
  <c r="BY40" i="2"/>
  <c r="BI40" i="2"/>
  <c r="S40" i="2"/>
  <c r="BY38" i="2"/>
  <c r="BI38" i="2"/>
  <c r="BY36" i="2"/>
  <c r="BI36" i="2"/>
  <c r="BY34" i="2"/>
  <c r="BI34" i="2"/>
  <c r="I34" i="2"/>
  <c r="AU33" i="2"/>
  <c r="CD32" i="2"/>
  <c r="BY32" i="2"/>
  <c r="BI32" i="2"/>
  <c r="CD30" i="2"/>
  <c r="BY30" i="2"/>
  <c r="BI30" i="2"/>
  <c r="I30" i="2"/>
  <c r="I26" i="2"/>
  <c r="I22" i="2"/>
  <c r="DL20" i="2"/>
  <c r="DK20" i="2"/>
  <c r="DJ20" i="2"/>
  <c r="DI20" i="2"/>
  <c r="DH20" i="2"/>
  <c r="DG20" i="2"/>
  <c r="DF20" i="2"/>
  <c r="DK19" i="2"/>
  <c r="DJ19" i="2"/>
  <c r="DI19" i="2"/>
  <c r="DH19" i="2"/>
  <c r="DG19" i="2"/>
  <c r="DF19" i="2"/>
  <c r="DK18" i="2"/>
  <c r="CN18" i="2"/>
  <c r="BT18" i="2"/>
  <c r="BO18" i="2"/>
  <c r="AZ18" i="2"/>
  <c r="I18" i="2"/>
  <c r="AK14" i="2"/>
  <c r="I14" i="2"/>
  <c r="B2" i="2"/>
  <c r="B57" i="1"/>
  <c r="B58" i="1"/>
  <c r="B8" i="2"/>
  <c r="B52" i="1"/>
  <c r="B51" i="1"/>
  <c r="B50" i="1"/>
  <c r="P49" i="1"/>
  <c r="N49" i="1"/>
  <c r="K49" i="1"/>
  <c r="O49" i="1"/>
  <c r="J49" i="1"/>
  <c r="Q49" i="1"/>
  <c r="H49" i="1"/>
  <c r="F49" i="1"/>
  <c r="R49" i="1"/>
  <c r="E49" i="1"/>
  <c r="B49" i="1"/>
  <c r="R48" i="1"/>
  <c r="P48" i="1"/>
  <c r="N48" i="1"/>
  <c r="K48" i="1"/>
  <c r="O48" i="1"/>
  <c r="J48" i="1"/>
  <c r="Q48" i="1"/>
  <c r="H48" i="1"/>
  <c r="F48" i="1"/>
  <c r="CN120" i="2"/>
  <c r="E48" i="1"/>
  <c r="R47" i="1"/>
  <c r="Q47" i="1"/>
  <c r="P47" i="1"/>
  <c r="N47" i="1"/>
  <c r="K47" i="1"/>
  <c r="O47" i="1"/>
  <c r="J47" i="1"/>
  <c r="CI118" i="2"/>
  <c r="H47" i="1"/>
  <c r="F47" i="1"/>
  <c r="E47" i="1"/>
  <c r="Q46" i="1"/>
  <c r="P46" i="1"/>
  <c r="N46" i="1"/>
  <c r="J46" i="1"/>
  <c r="CI116" i="2"/>
  <c r="H46" i="1"/>
  <c r="F46" i="1"/>
  <c r="CN116" i="2"/>
  <c r="E46" i="1"/>
  <c r="P45" i="1"/>
  <c r="N45" i="1"/>
  <c r="J45" i="1"/>
  <c r="CI114" i="2"/>
  <c r="H45" i="1"/>
  <c r="F45" i="1"/>
  <c r="E45" i="1"/>
  <c r="R44" i="1"/>
  <c r="Q44" i="1"/>
  <c r="P44" i="1"/>
  <c r="N44" i="1"/>
  <c r="K44" i="1"/>
  <c r="O44" i="1"/>
  <c r="J44" i="1"/>
  <c r="CI112" i="2"/>
  <c r="H44" i="1"/>
  <c r="F44" i="1"/>
  <c r="CN112" i="2"/>
  <c r="E44" i="1"/>
  <c r="B44" i="1"/>
  <c r="R43" i="1"/>
  <c r="Q43" i="1"/>
  <c r="P43" i="1"/>
  <c r="N43" i="1"/>
  <c r="K43" i="1"/>
  <c r="O43" i="1"/>
  <c r="J43" i="1"/>
  <c r="CI110" i="2"/>
  <c r="H43" i="1"/>
  <c r="F43" i="1"/>
  <c r="CN110" i="2"/>
  <c r="E43" i="1"/>
  <c r="B43" i="1"/>
  <c r="R42" i="1"/>
  <c r="P42" i="1"/>
  <c r="O42" i="1"/>
  <c r="N42" i="1"/>
  <c r="K42" i="1"/>
  <c r="J42" i="1"/>
  <c r="CI108" i="2"/>
  <c r="H42" i="1"/>
  <c r="F42" i="1"/>
  <c r="CN108" i="2"/>
  <c r="E42" i="1"/>
  <c r="B42" i="1"/>
  <c r="R41" i="1"/>
  <c r="P41" i="1"/>
  <c r="O41" i="1"/>
  <c r="N41" i="1"/>
  <c r="K41" i="1"/>
  <c r="J41" i="1"/>
  <c r="CI106" i="2"/>
  <c r="H41" i="1"/>
  <c r="F41" i="1"/>
  <c r="CN106" i="2"/>
  <c r="E41" i="1"/>
  <c r="B41" i="1"/>
  <c r="P40" i="1"/>
  <c r="N40" i="1"/>
  <c r="H40" i="1"/>
  <c r="F40" i="1"/>
  <c r="CN104" i="2"/>
  <c r="E40" i="1"/>
  <c r="B40" i="1"/>
  <c r="R39" i="1"/>
  <c r="P39" i="1"/>
  <c r="N39" i="1"/>
  <c r="H39" i="1"/>
  <c r="F39" i="1"/>
  <c r="CN102" i="2"/>
  <c r="E39" i="1"/>
  <c r="B39" i="1"/>
  <c r="R38" i="1"/>
  <c r="P38" i="1"/>
  <c r="N38" i="1"/>
  <c r="H38" i="1"/>
  <c r="F38" i="1"/>
  <c r="CN100" i="2"/>
  <c r="E38" i="1"/>
  <c r="B38" i="1"/>
  <c r="R37" i="1"/>
  <c r="P37" i="1"/>
  <c r="N37" i="1"/>
  <c r="F37" i="1"/>
  <c r="CN98" i="2"/>
  <c r="E37" i="1"/>
  <c r="B37" i="1"/>
  <c r="P36" i="1"/>
  <c r="N36" i="1"/>
  <c r="H36" i="1"/>
  <c r="F36" i="1"/>
  <c r="CN96" i="2"/>
  <c r="E36" i="1"/>
  <c r="B36" i="1"/>
  <c r="P35" i="1"/>
  <c r="N35" i="1"/>
  <c r="H35" i="1"/>
  <c r="F35" i="1"/>
  <c r="CN94" i="2"/>
  <c r="E35" i="1"/>
  <c r="B35" i="1"/>
  <c r="P34" i="1"/>
  <c r="N34" i="1"/>
  <c r="H34" i="1"/>
  <c r="F34" i="1"/>
  <c r="CN92" i="2"/>
  <c r="E34" i="1"/>
  <c r="B34" i="1"/>
  <c r="P33" i="1"/>
  <c r="N33" i="1"/>
  <c r="H33" i="1"/>
  <c r="F33" i="1"/>
  <c r="CN90" i="2"/>
  <c r="E33" i="1"/>
  <c r="B33" i="1"/>
  <c r="P32" i="1"/>
  <c r="N32" i="1"/>
  <c r="H32" i="1"/>
  <c r="F32" i="1"/>
  <c r="CN88" i="2"/>
  <c r="E32" i="1"/>
  <c r="B32" i="1"/>
  <c r="P31" i="1"/>
  <c r="N31" i="1"/>
  <c r="H31" i="1"/>
  <c r="F31" i="1"/>
  <c r="CN86" i="2"/>
  <c r="E31" i="1"/>
  <c r="B31" i="1"/>
  <c r="P30" i="1"/>
  <c r="N30" i="1"/>
  <c r="H30" i="1"/>
  <c r="F30" i="1"/>
  <c r="E30" i="1"/>
  <c r="B30" i="1"/>
  <c r="P29" i="1"/>
  <c r="N29" i="1"/>
  <c r="H29" i="1"/>
  <c r="F29" i="1"/>
  <c r="E29" i="1"/>
  <c r="B29" i="1"/>
  <c r="P28" i="1"/>
  <c r="N28" i="1"/>
  <c r="H28" i="1"/>
  <c r="F28" i="1"/>
  <c r="E28" i="1"/>
  <c r="B28" i="1"/>
  <c r="P27" i="1"/>
  <c r="N27" i="1"/>
  <c r="H27" i="1"/>
  <c r="F27" i="1"/>
  <c r="E27" i="1"/>
  <c r="B27" i="1"/>
  <c r="AM26" i="1"/>
  <c r="R26" i="1"/>
  <c r="P26" i="1"/>
  <c r="N26" i="1"/>
  <c r="K26" i="1"/>
  <c r="O26" i="1"/>
  <c r="H26" i="1"/>
  <c r="F26" i="1"/>
  <c r="CN76" i="2"/>
  <c r="E26" i="1"/>
  <c r="B26" i="1"/>
  <c r="P25" i="1"/>
  <c r="N25" i="1"/>
  <c r="H25" i="1"/>
  <c r="F25" i="1"/>
  <c r="K25" i="1"/>
  <c r="O25" i="1"/>
  <c r="E25" i="1"/>
  <c r="B25" i="1"/>
  <c r="R24" i="1"/>
  <c r="P24" i="1"/>
  <c r="N24" i="1"/>
  <c r="H24" i="1"/>
  <c r="F24" i="1"/>
  <c r="CN72" i="2"/>
  <c r="E24" i="1"/>
  <c r="B24" i="1"/>
  <c r="R23" i="1"/>
  <c r="P23" i="1"/>
  <c r="N23" i="1"/>
  <c r="H23" i="1"/>
  <c r="F23" i="1"/>
  <c r="CN70" i="2"/>
  <c r="E23" i="1"/>
  <c r="B23" i="1"/>
  <c r="AP22" i="1"/>
  <c r="AM22" i="1"/>
  <c r="P22" i="1"/>
  <c r="N22" i="1"/>
  <c r="H22" i="1"/>
  <c r="F22" i="1"/>
  <c r="CN68" i="2"/>
  <c r="E22" i="1"/>
  <c r="B22" i="1"/>
  <c r="AP21" i="1"/>
  <c r="AM21" i="1"/>
  <c r="J26" i="1"/>
  <c r="R21" i="1"/>
  <c r="P21" i="1"/>
  <c r="N21" i="1"/>
  <c r="J21" i="1"/>
  <c r="H21" i="1"/>
  <c r="F21" i="1"/>
  <c r="CN66" i="2"/>
  <c r="E21" i="1"/>
  <c r="B21" i="1"/>
  <c r="AP20" i="1"/>
  <c r="AM20" i="1"/>
  <c r="P20" i="1"/>
  <c r="N20" i="1"/>
  <c r="J20" i="1"/>
  <c r="CI64" i="2"/>
  <c r="H20" i="1"/>
  <c r="F20" i="1"/>
  <c r="E20" i="1"/>
  <c r="B20" i="1"/>
  <c r="AP19" i="1"/>
  <c r="AM19" i="1"/>
  <c r="R19" i="1"/>
  <c r="P19" i="1"/>
  <c r="N19" i="1"/>
  <c r="J19" i="1"/>
  <c r="H19" i="1"/>
  <c r="F19" i="1"/>
  <c r="CN62" i="2"/>
  <c r="E19" i="1"/>
  <c r="B19" i="1"/>
  <c r="AP18" i="1"/>
  <c r="AM18" i="1"/>
  <c r="R18" i="1"/>
  <c r="P18" i="1"/>
  <c r="N18" i="1"/>
  <c r="J18" i="1"/>
  <c r="H18" i="1"/>
  <c r="F18" i="1"/>
  <c r="E18" i="1"/>
  <c r="B18" i="1"/>
  <c r="AP17" i="1"/>
  <c r="AL24" i="1"/>
  <c r="AM17" i="1"/>
  <c r="F17" i="1"/>
  <c r="R17" i="1"/>
  <c r="P17" i="1"/>
  <c r="N17" i="1"/>
  <c r="J17" i="1"/>
  <c r="H17" i="1"/>
  <c r="E17" i="1"/>
  <c r="B17" i="1"/>
  <c r="AJ16" i="1"/>
  <c r="AI16" i="1"/>
  <c r="R16" i="1"/>
  <c r="P16" i="1"/>
  <c r="N16" i="1"/>
  <c r="J16" i="1"/>
  <c r="H16" i="1"/>
  <c r="F16" i="1"/>
  <c r="E16" i="1"/>
  <c r="B16" i="1"/>
  <c r="AJ15" i="1"/>
  <c r="AI15" i="1"/>
  <c r="R15" i="1"/>
  <c r="P15" i="1"/>
  <c r="N15" i="1"/>
  <c r="J15" i="1"/>
  <c r="H15" i="1"/>
  <c r="F15" i="1"/>
  <c r="E15" i="1"/>
  <c r="B15" i="1"/>
  <c r="AJ14" i="1"/>
  <c r="AI14" i="1"/>
  <c r="R14" i="1"/>
  <c r="P14" i="1"/>
  <c r="N14" i="1"/>
  <c r="J14" i="1"/>
  <c r="H14" i="1"/>
  <c r="F14" i="1"/>
  <c r="E14" i="1"/>
  <c r="B14" i="1"/>
  <c r="AJ13" i="1"/>
  <c r="AI13" i="1"/>
  <c r="R13" i="1"/>
  <c r="P13" i="1"/>
  <c r="N13" i="1"/>
  <c r="J13" i="1"/>
  <c r="H13" i="1"/>
  <c r="F13" i="1"/>
  <c r="E13" i="1"/>
  <c r="B13" i="1"/>
  <c r="AJ12" i="1"/>
  <c r="AI12" i="1"/>
  <c r="P12" i="1"/>
  <c r="N12" i="1"/>
  <c r="J12" i="1"/>
  <c r="H12" i="1"/>
  <c r="F12" i="1"/>
  <c r="R12" i="1"/>
  <c r="E12" i="1"/>
  <c r="B12" i="1"/>
  <c r="AJ11" i="1"/>
  <c r="AI11" i="1"/>
  <c r="R11" i="1"/>
  <c r="P11" i="1"/>
  <c r="N11" i="1"/>
  <c r="K11" i="1"/>
  <c r="O11" i="1"/>
  <c r="J11" i="1"/>
  <c r="H11" i="1"/>
  <c r="F11" i="1"/>
  <c r="CN46" i="2"/>
  <c r="E11" i="1"/>
  <c r="B11" i="1"/>
  <c r="AM10" i="1"/>
  <c r="AJ10" i="1"/>
  <c r="AI10" i="1"/>
  <c r="R10" i="1"/>
  <c r="P10" i="1"/>
  <c r="N10" i="1"/>
  <c r="J10" i="1"/>
  <c r="CI44" i="2"/>
  <c r="CD44" i="2"/>
  <c r="H10" i="1"/>
  <c r="F10" i="1"/>
  <c r="CN44" i="2"/>
  <c r="E10" i="1"/>
  <c r="B10" i="1"/>
  <c r="AJ9" i="1"/>
  <c r="AI9" i="1"/>
  <c r="Q9" i="1"/>
  <c r="P9" i="1"/>
  <c r="N9" i="1"/>
  <c r="J9" i="1"/>
  <c r="CI42" i="2"/>
  <c r="H9" i="1"/>
  <c r="F9" i="1"/>
  <c r="CN42" i="2"/>
  <c r="E9" i="1"/>
  <c r="B9" i="1"/>
  <c r="AJ8" i="1"/>
  <c r="AI8" i="1"/>
  <c r="R8" i="1"/>
  <c r="P8" i="1"/>
  <c r="N8" i="1"/>
  <c r="J8" i="1"/>
  <c r="CI40" i="2"/>
  <c r="CD40" i="2"/>
  <c r="H8" i="1"/>
  <c r="F8" i="1"/>
  <c r="CN40" i="2"/>
  <c r="E8" i="1"/>
  <c r="B8" i="1"/>
  <c r="AM7" i="1"/>
  <c r="AJ7" i="1"/>
  <c r="AI7" i="1"/>
  <c r="Q7" i="1"/>
  <c r="P7" i="1"/>
  <c r="N7" i="1"/>
  <c r="J7" i="1"/>
  <c r="CI38" i="2"/>
  <c r="H7" i="1"/>
  <c r="F7" i="1"/>
  <c r="CN38" i="2"/>
  <c r="E7" i="1"/>
  <c r="B7" i="1"/>
  <c r="AJ6" i="1"/>
  <c r="AI6" i="1"/>
  <c r="R6" i="1"/>
  <c r="P6" i="1"/>
  <c r="N6" i="1"/>
  <c r="K6" i="1"/>
  <c r="O6" i="1"/>
  <c r="J6" i="1"/>
  <c r="CI36" i="2"/>
  <c r="CD36" i="2"/>
  <c r="H6" i="1"/>
  <c r="F6" i="1"/>
  <c r="CN36" i="2"/>
  <c r="E6" i="1"/>
  <c r="B6" i="1"/>
  <c r="AJ5" i="1"/>
  <c r="AI5" i="1"/>
  <c r="Q5" i="1"/>
  <c r="P5" i="1"/>
  <c r="N5" i="1"/>
  <c r="J5" i="1"/>
  <c r="CI34" i="2"/>
  <c r="H5" i="1"/>
  <c r="F5" i="1"/>
  <c r="CN34" i="2"/>
  <c r="E5" i="1"/>
  <c r="B5" i="1"/>
  <c r="AM4" i="1"/>
  <c r="AM54" i="1"/>
  <c r="B66" i="1"/>
  <c r="C66" i="1"/>
  <c r="AJ4" i="1"/>
  <c r="AI4" i="1"/>
  <c r="Q4" i="1"/>
  <c r="P4" i="1"/>
  <c r="N4" i="1"/>
  <c r="J4" i="1"/>
  <c r="CI32" i="2"/>
  <c r="H4" i="1"/>
  <c r="F4" i="1"/>
  <c r="CN32" i="2"/>
  <c r="E4" i="1"/>
  <c r="B4" i="1"/>
  <c r="AJ3" i="1"/>
  <c r="AI3" i="1"/>
  <c r="AI54" i="1"/>
  <c r="R3" i="1"/>
  <c r="P3" i="1"/>
  <c r="N3" i="1"/>
  <c r="K3" i="1"/>
  <c r="O3" i="1"/>
  <c r="J3" i="1"/>
  <c r="CI30" i="2"/>
  <c r="H3" i="1"/>
  <c r="F3" i="1"/>
  <c r="CN30" i="2"/>
  <c r="E3" i="1"/>
  <c r="B3" i="1"/>
  <c r="F39" i="3"/>
  <c r="E39" i="3"/>
  <c r="F38" i="3"/>
  <c r="E38" i="3"/>
  <c r="F37" i="3"/>
  <c r="E37" i="3"/>
  <c r="F36" i="3"/>
  <c r="E36" i="3"/>
  <c r="E35" i="3"/>
  <c r="F32" i="3"/>
  <c r="C32" i="3"/>
  <c r="E32" i="3"/>
  <c r="F30" i="3"/>
  <c r="C30" i="3"/>
  <c r="E30" i="3"/>
  <c r="F28" i="3"/>
  <c r="C28" i="3"/>
  <c r="E28" i="3"/>
  <c r="F26" i="3"/>
  <c r="C26" i="3"/>
  <c r="E26" i="3"/>
  <c r="G24" i="3"/>
  <c r="F24" i="3"/>
  <c r="C24" i="3"/>
  <c r="E24" i="3"/>
  <c r="G22" i="3"/>
  <c r="F22" i="3"/>
  <c r="C22" i="3"/>
  <c r="E22" i="3"/>
  <c r="F20" i="3"/>
  <c r="C20" i="3"/>
  <c r="E20" i="3"/>
  <c r="F18" i="3"/>
  <c r="C18" i="3"/>
  <c r="E18" i="3"/>
  <c r="F16" i="3"/>
  <c r="C16" i="3"/>
  <c r="G16" i="3"/>
  <c r="F14" i="3"/>
  <c r="C14" i="3"/>
  <c r="G14" i="3"/>
  <c r="D8" i="3"/>
  <c r="C31" i="3"/>
  <c r="H25" i="5"/>
  <c r="H24" i="5"/>
  <c r="H23" i="5"/>
  <c r="H22" i="5"/>
  <c r="H13" i="5"/>
  <c r="H12" i="5"/>
  <c r="H11" i="5"/>
  <c r="P8" i="5"/>
  <c r="O8" i="5"/>
  <c r="M8" i="5"/>
  <c r="H8" i="5"/>
  <c r="M7" i="5"/>
  <c r="H7" i="5"/>
  <c r="P6" i="5"/>
  <c r="O6" i="5"/>
  <c r="M6" i="5"/>
  <c r="H6" i="5"/>
  <c r="M5" i="5"/>
  <c r="H5" i="5"/>
  <c r="P4" i="5"/>
  <c r="O4" i="5"/>
  <c r="M4" i="5"/>
  <c r="H4" i="5"/>
  <c r="Q3" i="5"/>
  <c r="Q5" i="5"/>
  <c r="P3" i="5"/>
  <c r="P7" i="5"/>
  <c r="O3" i="5"/>
  <c r="O7" i="5"/>
  <c r="N3" i="5"/>
  <c r="N8" i="5"/>
  <c r="O1" i="5"/>
  <c r="E54" i="1"/>
  <c r="B64" i="1"/>
  <c r="C64" i="1"/>
  <c r="R40" i="1"/>
  <c r="B54" i="1"/>
  <c r="E31" i="3"/>
  <c r="H31" i="3"/>
  <c r="D31" i="3"/>
  <c r="G31" i="3"/>
  <c r="F31" i="3"/>
  <c r="N5" i="5"/>
  <c r="N7" i="5"/>
  <c r="Q6" i="5"/>
  <c r="H16" i="3"/>
  <c r="D18" i="3"/>
  <c r="H20" i="3"/>
  <c r="D22" i="3"/>
  <c r="H22" i="3"/>
  <c r="D24" i="3"/>
  <c r="H24" i="3"/>
  <c r="D26" i="3"/>
  <c r="H26" i="3"/>
  <c r="D28" i="3"/>
  <c r="H28" i="3"/>
  <c r="D30" i="3"/>
  <c r="H30" i="3"/>
  <c r="D32" i="3"/>
  <c r="H32" i="3"/>
  <c r="L3" i="1"/>
  <c r="M3" i="1"/>
  <c r="AJ54" i="1"/>
  <c r="CD34" i="2"/>
  <c r="R5" i="1"/>
  <c r="CD38" i="2"/>
  <c r="R7" i="1"/>
  <c r="K8" i="1"/>
  <c r="O8" i="1"/>
  <c r="K10" i="1"/>
  <c r="O10" i="1"/>
  <c r="CI66" i="2"/>
  <c r="Q21" i="1"/>
  <c r="CI76" i="2"/>
  <c r="Q26" i="1"/>
  <c r="Q7" i="5"/>
  <c r="G18" i="3"/>
  <c r="G20" i="3"/>
  <c r="G26" i="3"/>
  <c r="G28" i="3"/>
  <c r="G30" i="3"/>
  <c r="G32" i="3"/>
  <c r="Q4" i="5"/>
  <c r="O5" i="5"/>
  <c r="Q8" i="5"/>
  <c r="D14" i="3"/>
  <c r="H14" i="3"/>
  <c r="D16" i="3"/>
  <c r="H18" i="3"/>
  <c r="D20" i="3"/>
  <c r="N4" i="5"/>
  <c r="P5" i="5"/>
  <c r="N6" i="5"/>
  <c r="C13" i="3"/>
  <c r="E14" i="3"/>
  <c r="C15" i="3"/>
  <c r="E16" i="3"/>
  <c r="C17" i="3"/>
  <c r="C19" i="3"/>
  <c r="C21" i="3"/>
  <c r="C23" i="3"/>
  <c r="C25" i="3"/>
  <c r="C27" i="3"/>
  <c r="C29" i="3"/>
  <c r="Q3" i="1"/>
  <c r="R4" i="1"/>
  <c r="K5" i="1"/>
  <c r="O5" i="1"/>
  <c r="Q6" i="1"/>
  <c r="K7" i="1"/>
  <c r="O7" i="1"/>
  <c r="CD42" i="2"/>
  <c r="R9" i="1"/>
  <c r="Q10" i="1"/>
  <c r="CN48" i="2"/>
  <c r="K12" i="1"/>
  <c r="O12" i="1"/>
  <c r="CN50" i="2"/>
  <c r="K13" i="1"/>
  <c r="O13" i="1"/>
  <c r="CN52" i="2"/>
  <c r="K14" i="1"/>
  <c r="O14" i="1"/>
  <c r="CN54" i="2"/>
  <c r="K15" i="1"/>
  <c r="O15" i="1"/>
  <c r="CN56" i="2"/>
  <c r="K16" i="1"/>
  <c r="O16" i="1"/>
  <c r="CN58" i="2"/>
  <c r="K17" i="1"/>
  <c r="O17" i="1"/>
  <c r="S98" i="2"/>
  <c r="S88" i="2"/>
  <c r="S78" i="2"/>
  <c r="Y88" i="2"/>
  <c r="Y78" i="2"/>
  <c r="S68" i="2"/>
  <c r="N55" i="2"/>
  <c r="N14" i="2"/>
  <c r="V98" i="2"/>
  <c r="V88" i="2"/>
  <c r="V78" i="2"/>
  <c r="J36" i="1"/>
  <c r="CN60" i="2"/>
  <c r="K18" i="1"/>
  <c r="O18" i="1"/>
  <c r="S108" i="2"/>
  <c r="X44" i="2"/>
  <c r="N44" i="2"/>
  <c r="AU18" i="2"/>
  <c r="AK18" i="2"/>
  <c r="N59" i="2"/>
  <c r="AU24" i="2"/>
  <c r="AP24" i="2"/>
  <c r="N18" i="2"/>
  <c r="J39" i="1"/>
  <c r="J35" i="1"/>
  <c r="J33" i="1"/>
  <c r="J30" i="1"/>
  <c r="N22" i="2"/>
  <c r="X40" i="2"/>
  <c r="CN64" i="2"/>
  <c r="K20" i="1"/>
  <c r="O20" i="1"/>
  <c r="R20" i="1"/>
  <c r="K4" i="1"/>
  <c r="O4" i="1"/>
  <c r="Q8" i="1"/>
  <c r="K9" i="1"/>
  <c r="O9" i="1"/>
  <c r="CI46" i="2"/>
  <c r="CD46" i="2"/>
  <c r="Q11" i="1"/>
  <c r="B65" i="1"/>
  <c r="C65" i="1"/>
  <c r="L4" i="1"/>
  <c r="CI48" i="2"/>
  <c r="CD48" i="2"/>
  <c r="Q12" i="1"/>
  <c r="CI50" i="2"/>
  <c r="Q13" i="1"/>
  <c r="CI52" i="2"/>
  <c r="CD52" i="2"/>
  <c r="Q14" i="1"/>
  <c r="CI54" i="2"/>
  <c r="CD54" i="2"/>
  <c r="Q15" i="1"/>
  <c r="CI56" i="2"/>
  <c r="CD56" i="2"/>
  <c r="Q16" i="1"/>
  <c r="CI58" i="2"/>
  <c r="CD58" i="2"/>
  <c r="Q17" i="1"/>
  <c r="CI60" i="2"/>
  <c r="CD60" i="2"/>
  <c r="Q18" i="1"/>
  <c r="CI62" i="2"/>
  <c r="Q19" i="1"/>
  <c r="K19" i="1"/>
  <c r="O19" i="1"/>
  <c r="Q20" i="1"/>
  <c r="K21" i="1"/>
  <c r="O21" i="1"/>
  <c r="AP24" i="1"/>
  <c r="R25" i="1"/>
  <c r="CN80" i="2"/>
  <c r="K28" i="1"/>
  <c r="O28" i="1"/>
  <c r="R28" i="1"/>
  <c r="N26" i="2"/>
  <c r="J37" i="1"/>
  <c r="J34" i="1"/>
  <c r="J31" i="1"/>
  <c r="J29" i="1"/>
  <c r="J22" i="1"/>
  <c r="R22" i="1"/>
  <c r="N34" i="2"/>
  <c r="J38" i="1"/>
  <c r="J25" i="1"/>
  <c r="CN78" i="2"/>
  <c r="K27" i="1"/>
  <c r="O27" i="1"/>
  <c r="R27" i="1"/>
  <c r="K22" i="1"/>
  <c r="O22" i="1"/>
  <c r="CN84" i="2"/>
  <c r="K30" i="1"/>
  <c r="O30" i="1"/>
  <c r="R30" i="1"/>
  <c r="N30" i="2"/>
  <c r="X48" i="2"/>
  <c r="N48" i="2"/>
  <c r="J40" i="1"/>
  <c r="J32" i="1"/>
  <c r="J28" i="1"/>
  <c r="J27" i="1"/>
  <c r="J23" i="1"/>
  <c r="K23" i="1"/>
  <c r="O23" i="1"/>
  <c r="J24" i="1"/>
  <c r="K24" i="1"/>
  <c r="O24" i="1"/>
  <c r="CN74" i="2"/>
  <c r="CN82" i="2"/>
  <c r="K29" i="1"/>
  <c r="O29" i="1"/>
  <c r="R29" i="1"/>
  <c r="R31" i="1"/>
  <c r="R32" i="1"/>
  <c r="R33" i="1"/>
  <c r="R34" i="1"/>
  <c r="R35" i="1"/>
  <c r="R36" i="1"/>
  <c r="K37" i="1"/>
  <c r="O37" i="1"/>
  <c r="K38" i="1"/>
  <c r="O38" i="1"/>
  <c r="K39" i="1"/>
  <c r="O39" i="1"/>
  <c r="K31" i="1"/>
  <c r="O31" i="1"/>
  <c r="K32" i="1"/>
  <c r="O32" i="1"/>
  <c r="K33" i="1"/>
  <c r="O33" i="1"/>
  <c r="K34" i="1"/>
  <c r="O34" i="1"/>
  <c r="K35" i="1"/>
  <c r="O35" i="1"/>
  <c r="K36" i="1"/>
  <c r="O36" i="1"/>
  <c r="Q41" i="1"/>
  <c r="Q42" i="1"/>
  <c r="N40" i="2"/>
  <c r="Q45" i="1"/>
  <c r="R46" i="1"/>
  <c r="E59" i="1"/>
  <c r="AU29" i="2"/>
  <c r="CN118" i="2"/>
  <c r="CI120" i="2"/>
  <c r="R45" i="1"/>
  <c r="K46" i="1"/>
  <c r="O46" i="1"/>
  <c r="B60" i="1"/>
  <c r="CR25" i="2"/>
  <c r="CN122" i="2"/>
  <c r="K45" i="1"/>
  <c r="O45" i="1"/>
  <c r="CN114" i="2"/>
  <c r="B59" i="1"/>
  <c r="B55" i="1"/>
  <c r="AH57" i="1"/>
  <c r="B63" i="1"/>
  <c r="C63" i="1"/>
  <c r="CI104" i="2"/>
  <c r="CD104" i="2"/>
  <c r="Q40" i="1"/>
  <c r="K40" i="1"/>
  <c r="O40" i="1"/>
  <c r="CI100" i="2"/>
  <c r="Q38" i="1"/>
  <c r="CI98" i="2"/>
  <c r="CD98" i="2"/>
  <c r="Q37" i="1"/>
  <c r="CI84" i="2"/>
  <c r="CD84" i="2"/>
  <c r="Q30" i="1"/>
  <c r="CI96" i="2"/>
  <c r="CD96" i="2"/>
  <c r="Q36" i="1"/>
  <c r="H29" i="3"/>
  <c r="D29" i="3"/>
  <c r="G29" i="3"/>
  <c r="E29" i="3"/>
  <c r="F29" i="3"/>
  <c r="G21" i="3"/>
  <c r="F21" i="3"/>
  <c r="E21" i="3"/>
  <c r="H21" i="3"/>
  <c r="D21" i="3"/>
  <c r="D15" i="3"/>
  <c r="G15" i="3"/>
  <c r="H15" i="3"/>
  <c r="F15" i="3"/>
  <c r="E15" i="3"/>
  <c r="CI78" i="2"/>
  <c r="Q27" i="1"/>
  <c r="CI82" i="2"/>
  <c r="Q29" i="1"/>
  <c r="L5" i="1"/>
  <c r="M4" i="1"/>
  <c r="CI90" i="2"/>
  <c r="Q33" i="1"/>
  <c r="H27" i="3"/>
  <c r="D27" i="3"/>
  <c r="G27" i="3"/>
  <c r="E27" i="3"/>
  <c r="F27" i="3"/>
  <c r="H19" i="3"/>
  <c r="G19" i="3"/>
  <c r="E19" i="3"/>
  <c r="D19" i="3"/>
  <c r="F19" i="3"/>
  <c r="CI72" i="2"/>
  <c r="CD72" i="2"/>
  <c r="Q24" i="1"/>
  <c r="CI80" i="2"/>
  <c r="Q28" i="1"/>
  <c r="CI86" i="2"/>
  <c r="CD86" i="2"/>
  <c r="Q31" i="1"/>
  <c r="CI94" i="2"/>
  <c r="CD94" i="2"/>
  <c r="Q35" i="1"/>
  <c r="H25" i="3"/>
  <c r="D25" i="3"/>
  <c r="G25" i="3"/>
  <c r="E25" i="3"/>
  <c r="F25" i="3"/>
  <c r="D17" i="3"/>
  <c r="G17" i="3"/>
  <c r="F17" i="3"/>
  <c r="E17" i="3"/>
  <c r="H17" i="3"/>
  <c r="D13" i="3"/>
  <c r="G13" i="3"/>
  <c r="F13" i="3"/>
  <c r="E13" i="3"/>
  <c r="H13" i="3"/>
  <c r="CI70" i="2"/>
  <c r="CD70" i="2"/>
  <c r="Q23" i="1"/>
  <c r="CI88" i="2"/>
  <c r="CD88" i="2"/>
  <c r="Q32" i="1"/>
  <c r="CI74" i="2"/>
  <c r="Q25" i="1"/>
  <c r="CI68" i="2"/>
  <c r="Q22" i="1"/>
  <c r="CI92" i="2"/>
  <c r="Q34" i="1"/>
  <c r="CI102" i="2"/>
  <c r="CD102" i="2"/>
  <c r="Q39" i="1"/>
  <c r="H23" i="3"/>
  <c r="D23" i="3"/>
  <c r="G23" i="3"/>
  <c r="F23" i="3"/>
  <c r="E23" i="3"/>
  <c r="U3" i="1"/>
  <c r="Z3" i="1"/>
  <c r="M5" i="1"/>
  <c r="L6" i="1"/>
  <c r="L7" i="1"/>
  <c r="M6" i="1"/>
  <c r="T3" i="1"/>
  <c r="Y3" i="1"/>
  <c r="AD3" i="1"/>
  <c r="V4" i="1"/>
  <c r="AA4" i="1"/>
  <c r="W4" i="1"/>
  <c r="AB4" i="1"/>
  <c r="U4" i="1"/>
  <c r="Z4" i="1"/>
  <c r="V3" i="1"/>
  <c r="AA3" i="1"/>
  <c r="X3" i="1"/>
  <c r="AC3" i="1"/>
  <c r="T4" i="1"/>
  <c r="Y4" i="1"/>
  <c r="W3" i="1"/>
  <c r="AB3" i="1"/>
  <c r="AD4" i="1"/>
  <c r="X4" i="1"/>
  <c r="AC4" i="1"/>
  <c r="M7" i="1"/>
  <c r="L8" i="1"/>
  <c r="T5" i="1"/>
  <c r="Y5" i="1"/>
  <c r="U5" i="1"/>
  <c r="Z5" i="1"/>
  <c r="W5" i="1"/>
  <c r="AB5" i="1"/>
  <c r="X5" i="1"/>
  <c r="AC5" i="1"/>
  <c r="L9" i="1"/>
  <c r="M8" i="1"/>
  <c r="V5" i="1"/>
  <c r="AA5" i="1"/>
  <c r="V6" i="1"/>
  <c r="AA6" i="1"/>
  <c r="T6" i="1"/>
  <c r="Y6" i="1"/>
  <c r="W6" i="1"/>
  <c r="AB6" i="1"/>
  <c r="X6" i="1"/>
  <c r="AC6" i="1"/>
  <c r="AD5" i="1"/>
  <c r="L10" i="1"/>
  <c r="M9" i="1"/>
  <c r="U6" i="1"/>
  <c r="Z6" i="1"/>
  <c r="X7" i="1"/>
  <c r="AC7" i="1"/>
  <c r="AD6" i="1"/>
  <c r="V7" i="1"/>
  <c r="AA7" i="1"/>
  <c r="M10" i="1"/>
  <c r="L11" i="1"/>
  <c r="T7" i="1"/>
  <c r="Y7" i="1"/>
  <c r="T8" i="1"/>
  <c r="Y8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L23" i="1"/>
  <c r="M22" i="1"/>
  <c r="M23" i="1"/>
  <c r="L24" i="1"/>
  <c r="M24" i="1"/>
  <c r="L25" i="1"/>
  <c r="M25" i="1"/>
  <c r="L26" i="1"/>
  <c r="L27" i="1"/>
  <c r="M26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L39" i="1"/>
  <c r="M38" i="1"/>
  <c r="L40" i="1"/>
  <c r="M39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X48" i="1"/>
  <c r="AC48" i="1"/>
  <c r="U35" i="1"/>
  <c r="Z35" i="1"/>
  <c r="X18" i="1"/>
  <c r="AC18" i="1"/>
  <c r="X25" i="1"/>
  <c r="AC25" i="1"/>
  <c r="W31" i="1"/>
  <c r="AB31" i="1"/>
  <c r="T33" i="1"/>
  <c r="Y33" i="1"/>
  <c r="AD33" i="1"/>
  <c r="V8" i="1"/>
  <c r="AA8" i="1"/>
  <c r="T21" i="1"/>
  <c r="Y21" i="1"/>
  <c r="T47" i="1"/>
  <c r="Y47" i="1"/>
  <c r="AD47" i="1"/>
  <c r="U30" i="1"/>
  <c r="Z30" i="1"/>
  <c r="U41" i="1"/>
  <c r="Z41" i="1"/>
  <c r="U45" i="1"/>
  <c r="Z45" i="1"/>
  <c r="T10" i="1"/>
  <c r="Y10" i="1"/>
  <c r="V44" i="1"/>
  <c r="AA44" i="1"/>
  <c r="W32" i="1"/>
  <c r="AB32" i="1"/>
  <c r="T49" i="1"/>
  <c r="Y49" i="1"/>
  <c r="AD49" i="1"/>
  <c r="T15" i="1"/>
  <c r="Y15" i="1"/>
  <c r="T22" i="1"/>
  <c r="Y22" i="1"/>
  <c r="T38" i="1"/>
  <c r="Y38" i="1"/>
  <c r="AD38" i="1"/>
  <c r="T41" i="1"/>
  <c r="Y41" i="1"/>
  <c r="AD41" i="1"/>
  <c r="V24" i="1"/>
  <c r="AA24" i="1"/>
  <c r="X43" i="1"/>
  <c r="AC43" i="1"/>
  <c r="U38" i="1"/>
  <c r="Z38" i="1"/>
  <c r="U42" i="1"/>
  <c r="Z42" i="1"/>
  <c r="V26" i="1"/>
  <c r="AA26" i="1"/>
  <c r="W36" i="1"/>
  <c r="AB36" i="1"/>
  <c r="W37" i="1"/>
  <c r="AB37" i="1"/>
  <c r="X23" i="1"/>
  <c r="AC23" i="1"/>
  <c r="W41" i="1"/>
  <c r="AB41" i="1"/>
  <c r="V14" i="1"/>
  <c r="AA14" i="1"/>
  <c r="X41" i="1"/>
  <c r="AC41" i="1"/>
  <c r="X42" i="1"/>
  <c r="AC42" i="1"/>
  <c r="U47" i="1"/>
  <c r="Z47" i="1"/>
  <c r="V45" i="1"/>
  <c r="AA45" i="1"/>
  <c r="V13" i="1"/>
  <c r="AA13" i="1"/>
  <c r="X27" i="1"/>
  <c r="AC27" i="1"/>
  <c r="W29" i="1"/>
  <c r="AB29" i="1"/>
  <c r="V12" i="1"/>
  <c r="AA12" i="1"/>
  <c r="V37" i="1"/>
  <c r="AA37" i="1"/>
  <c r="U16" i="1"/>
  <c r="Z16" i="1"/>
  <c r="W9" i="1"/>
  <c r="AB9" i="1"/>
  <c r="U26" i="1"/>
  <c r="Z26" i="1"/>
  <c r="W14" i="1"/>
  <c r="AB14" i="1"/>
  <c r="T17" i="1"/>
  <c r="Y17" i="1"/>
  <c r="X10" i="1"/>
  <c r="AC10" i="1"/>
  <c r="X30" i="1"/>
  <c r="AC30" i="1"/>
  <c r="V17" i="1"/>
  <c r="AA17" i="1"/>
  <c r="V43" i="1"/>
  <c r="AA43" i="1"/>
  <c r="X14" i="1"/>
  <c r="AC14" i="1"/>
  <c r="U46" i="1"/>
  <c r="Z46" i="1"/>
  <c r="T30" i="1"/>
  <c r="Y30" i="1"/>
  <c r="AD30" i="1"/>
  <c r="T14" i="1"/>
  <c r="Y14" i="1"/>
  <c r="U48" i="1"/>
  <c r="Z48" i="1"/>
  <c r="U15" i="1"/>
  <c r="Z15" i="1"/>
  <c r="W25" i="1"/>
  <c r="AB25" i="1"/>
  <c r="T27" i="1"/>
  <c r="Y27" i="1"/>
  <c r="AD27" i="1"/>
  <c r="X22" i="1"/>
  <c r="AC22" i="1"/>
  <c r="X49" i="1"/>
  <c r="AC49" i="1"/>
  <c r="X40" i="1"/>
  <c r="AC40" i="1"/>
  <c r="V42" i="1"/>
  <c r="AA42" i="1"/>
  <c r="T32" i="1"/>
  <c r="Y32" i="1"/>
  <c r="AD32" i="1"/>
  <c r="U25" i="1"/>
  <c r="Z25" i="1"/>
  <c r="U10" i="1"/>
  <c r="Z10" i="1"/>
  <c r="V30" i="1"/>
  <c r="AA30" i="1"/>
  <c r="U34" i="1"/>
  <c r="Z34" i="1"/>
  <c r="V29" i="1"/>
  <c r="AA29" i="1"/>
  <c r="V46" i="1"/>
  <c r="AA46" i="1"/>
  <c r="V23" i="1"/>
  <c r="AA23" i="1"/>
  <c r="X31" i="1"/>
  <c r="AC31" i="1"/>
  <c r="U39" i="1"/>
  <c r="Z39" i="1"/>
  <c r="X35" i="1"/>
  <c r="AC35" i="1"/>
  <c r="W22" i="1"/>
  <c r="AB22" i="1"/>
  <c r="V25" i="1"/>
  <c r="AA25" i="1"/>
  <c r="T44" i="1"/>
  <c r="Y44" i="1"/>
  <c r="AD44" i="1"/>
  <c r="X37" i="1"/>
  <c r="AC37" i="1"/>
  <c r="W47" i="1"/>
  <c r="AB47" i="1"/>
  <c r="W28" i="1"/>
  <c r="AB28" i="1"/>
  <c r="U40" i="1"/>
  <c r="Z40" i="1"/>
  <c r="X33" i="1"/>
  <c r="AC33" i="1"/>
  <c r="V33" i="1"/>
  <c r="AA33" i="1"/>
  <c r="W38" i="1"/>
  <c r="AB38" i="1"/>
  <c r="T48" i="1"/>
  <c r="Y48" i="1"/>
  <c r="AD48" i="1"/>
  <c r="V41" i="1"/>
  <c r="AA41" i="1"/>
  <c r="T43" i="1"/>
  <c r="Y43" i="1"/>
  <c r="AD43" i="1"/>
  <c r="U32" i="1"/>
  <c r="Z32" i="1"/>
  <c r="X45" i="1"/>
  <c r="AC45" i="1"/>
  <c r="T25" i="1"/>
  <c r="Y25" i="1"/>
  <c r="AD25" i="1"/>
  <c r="U27" i="1"/>
  <c r="Z27" i="1"/>
  <c r="X47" i="1"/>
  <c r="AC47" i="1"/>
  <c r="T26" i="1"/>
  <c r="Y26" i="1"/>
  <c r="AD26" i="1"/>
  <c r="W23" i="1"/>
  <c r="AB23" i="1"/>
  <c r="T24" i="1"/>
  <c r="Y24" i="1"/>
  <c r="V27" i="1"/>
  <c r="AA27" i="1"/>
  <c r="U14" i="1"/>
  <c r="Z14" i="1"/>
  <c r="T36" i="1"/>
  <c r="Y36" i="1"/>
  <c r="AD36" i="1"/>
  <c r="W33" i="1"/>
  <c r="AB33" i="1"/>
  <c r="T13" i="1"/>
  <c r="Y13" i="1"/>
  <c r="T31" i="1"/>
  <c r="Y31" i="1"/>
  <c r="AD31" i="1"/>
  <c r="U49" i="1"/>
  <c r="Z49" i="1"/>
  <c r="T18" i="1"/>
  <c r="Y18" i="1"/>
  <c r="W11" i="1"/>
  <c r="AB11" i="1"/>
  <c r="W43" i="1"/>
  <c r="AB43" i="1"/>
  <c r="X19" i="1"/>
  <c r="AC19" i="1"/>
  <c r="T40" i="1"/>
  <c r="Y40" i="1"/>
  <c r="AD40" i="1"/>
  <c r="U33" i="1"/>
  <c r="Z33" i="1"/>
  <c r="W27" i="1"/>
  <c r="AB27" i="1"/>
  <c r="T28" i="1"/>
  <c r="Y28" i="1"/>
  <c r="AD28" i="1"/>
  <c r="U18" i="1"/>
  <c r="Z18" i="1"/>
  <c r="V28" i="1"/>
  <c r="AA28" i="1"/>
  <c r="X9" i="1"/>
  <c r="AC9" i="1"/>
  <c r="V10" i="1"/>
  <c r="AA10" i="1"/>
  <c r="W26" i="1"/>
  <c r="AB26" i="1"/>
  <c r="U43" i="1"/>
  <c r="Z43" i="1"/>
  <c r="T12" i="1"/>
  <c r="Y12" i="1"/>
  <c r="X20" i="1"/>
  <c r="AC20" i="1"/>
  <c r="V11" i="1"/>
  <c r="AA11" i="1"/>
  <c r="W42" i="1"/>
  <c r="AB42" i="1"/>
  <c r="U19" i="1"/>
  <c r="Z19" i="1"/>
  <c r="W48" i="1"/>
  <c r="AB48" i="1"/>
  <c r="X39" i="1"/>
  <c r="AC39" i="1"/>
  <c r="T34" i="1"/>
  <c r="Y34" i="1"/>
  <c r="AD34" i="1"/>
  <c r="U23" i="1"/>
  <c r="Z23" i="1"/>
  <c r="X11" i="1"/>
  <c r="AC11" i="1"/>
  <c r="X24" i="1"/>
  <c r="AC24" i="1"/>
  <c r="T45" i="1"/>
  <c r="Y45" i="1"/>
  <c r="AD45" i="1"/>
  <c r="T39" i="1"/>
  <c r="Y39" i="1"/>
  <c r="AD39" i="1"/>
  <c r="V22" i="1"/>
  <c r="AA22" i="1"/>
  <c r="T20" i="1"/>
  <c r="Y20" i="1"/>
  <c r="U17" i="1"/>
  <c r="Z17" i="1"/>
  <c r="X32" i="1"/>
  <c r="AC32" i="1"/>
  <c r="X26" i="1"/>
  <c r="AC26" i="1"/>
  <c r="W12" i="1"/>
  <c r="AB12" i="1"/>
  <c r="V47" i="1"/>
  <c r="AA47" i="1"/>
  <c r="X34" i="1"/>
  <c r="AC34" i="1"/>
  <c r="U28" i="1"/>
  <c r="Z28" i="1"/>
  <c r="V15" i="1"/>
  <c r="AA15" i="1"/>
  <c r="W45" i="1"/>
  <c r="AB45" i="1"/>
  <c r="X38" i="1"/>
  <c r="AC38" i="1"/>
  <c r="V39" i="1"/>
  <c r="AA39" i="1"/>
  <c r="W7" i="1"/>
  <c r="AB7" i="1"/>
  <c r="V32" i="1"/>
  <c r="AA32" i="1"/>
  <c r="V48" i="1"/>
  <c r="AA48" i="1"/>
  <c r="V34" i="1"/>
  <c r="AA34" i="1"/>
  <c r="T23" i="1"/>
  <c r="Y23" i="1"/>
  <c r="AD23" i="1"/>
  <c r="T46" i="1"/>
  <c r="Y46" i="1"/>
  <c r="AD46" i="1"/>
  <c r="W49" i="1"/>
  <c r="AB49" i="1"/>
  <c r="V19" i="1"/>
  <c r="AA19" i="1"/>
  <c r="V31" i="1"/>
  <c r="AA31" i="1"/>
  <c r="W24" i="1"/>
  <c r="AB24" i="1"/>
  <c r="U44" i="1"/>
  <c r="Z44" i="1"/>
  <c r="V49" i="1"/>
  <c r="AA49" i="1"/>
  <c r="X15" i="1"/>
  <c r="AC15" i="1"/>
  <c r="U7" i="1"/>
  <c r="Z7" i="1"/>
  <c r="AD7" i="1"/>
  <c r="U29" i="1"/>
  <c r="Z29" i="1"/>
  <c r="W39" i="1"/>
  <c r="AB39" i="1"/>
  <c r="V35" i="1"/>
  <c r="AA35" i="1"/>
  <c r="X12" i="1"/>
  <c r="AC12" i="1"/>
  <c r="T37" i="1"/>
  <c r="Y37" i="1"/>
  <c r="AD37" i="1"/>
  <c r="V36" i="1"/>
  <c r="AA36" i="1"/>
  <c r="V21" i="1"/>
  <c r="AA21" i="1"/>
  <c r="W44" i="1"/>
  <c r="AB44" i="1"/>
  <c r="W46" i="1"/>
  <c r="AB46" i="1"/>
  <c r="U36" i="1"/>
  <c r="Z36" i="1"/>
  <c r="X29" i="1"/>
  <c r="AC29" i="1"/>
  <c r="V9" i="1"/>
  <c r="AA9" i="1"/>
  <c r="U8" i="1"/>
  <c r="Z8" i="1"/>
  <c r="AD8" i="1"/>
  <c r="U9" i="1"/>
  <c r="Z9" i="1"/>
  <c r="W30" i="1"/>
  <c r="AB30" i="1"/>
  <c r="V40" i="1"/>
  <c r="AA40" i="1"/>
  <c r="U21" i="1"/>
  <c r="Z21" i="1"/>
  <c r="W19" i="1"/>
  <c r="AB19" i="1"/>
  <c r="X17" i="1"/>
  <c r="AC17" i="1"/>
  <c r="U13" i="1"/>
  <c r="Z13" i="1"/>
  <c r="X13" i="1"/>
  <c r="AC13" i="1"/>
  <c r="W40" i="1"/>
  <c r="AB40" i="1"/>
  <c r="X28" i="1"/>
  <c r="AC28" i="1"/>
  <c r="W8" i="1"/>
  <c r="AB8" i="1"/>
  <c r="T42" i="1"/>
  <c r="Y42" i="1"/>
  <c r="AD42" i="1"/>
  <c r="T35" i="1"/>
  <c r="Y35" i="1"/>
  <c r="AD35" i="1"/>
  <c r="V16" i="1"/>
  <c r="AA16" i="1"/>
  <c r="X8" i="1"/>
  <c r="AC8" i="1"/>
  <c r="X46" i="1"/>
  <c r="AC46" i="1"/>
  <c r="W34" i="1"/>
  <c r="AB34" i="1"/>
  <c r="T9" i="1"/>
  <c r="Y9" i="1"/>
  <c r="U22" i="1"/>
  <c r="Z22" i="1"/>
  <c r="W18" i="1"/>
  <c r="AB18" i="1"/>
  <c r="U24" i="1"/>
  <c r="Z24" i="1"/>
  <c r="X16" i="1"/>
  <c r="AC16" i="1"/>
  <c r="W20" i="1"/>
  <c r="AB20" i="1"/>
  <c r="X36" i="1"/>
  <c r="AC36" i="1"/>
  <c r="U20" i="1"/>
  <c r="Z20" i="1"/>
  <c r="U37" i="1"/>
  <c r="Z37" i="1"/>
  <c r="V20" i="1"/>
  <c r="AA20" i="1"/>
  <c r="V18" i="1"/>
  <c r="AA18" i="1"/>
  <c r="W13" i="1"/>
  <c r="AB13" i="1"/>
  <c r="U31" i="1"/>
  <c r="Z31" i="1"/>
  <c r="W15" i="1"/>
  <c r="AB15" i="1"/>
  <c r="W10" i="1"/>
  <c r="AB10" i="1"/>
  <c r="W17" i="1"/>
  <c r="AB17" i="1"/>
  <c r="X44" i="1"/>
  <c r="AC44" i="1"/>
  <c r="X21" i="1"/>
  <c r="AC21" i="1"/>
  <c r="W35" i="1"/>
  <c r="AB35" i="1"/>
  <c r="W21" i="1"/>
  <c r="AB21" i="1"/>
  <c r="V38" i="1"/>
  <c r="AA38" i="1"/>
  <c r="T16" i="1"/>
  <c r="Y16" i="1"/>
  <c r="AD16" i="1"/>
  <c r="U11" i="1"/>
  <c r="Z11" i="1"/>
  <c r="T29" i="1"/>
  <c r="Y29" i="1"/>
  <c r="AD29" i="1"/>
  <c r="W16" i="1"/>
  <c r="AB16" i="1"/>
  <c r="U12" i="1"/>
  <c r="Z12" i="1"/>
  <c r="T19" i="1"/>
  <c r="Y19" i="1"/>
  <c r="AD19" i="1"/>
  <c r="T11" i="1"/>
  <c r="Y11" i="1"/>
  <c r="AD11" i="1"/>
  <c r="AD9" i="1"/>
  <c r="AD20" i="1"/>
  <c r="AD18" i="1"/>
  <c r="AD24" i="1"/>
  <c r="AD14" i="1"/>
  <c r="AD17" i="1"/>
  <c r="AD21" i="1"/>
  <c r="AD12" i="1"/>
  <c r="AD22" i="1"/>
  <c r="AD13" i="1"/>
  <c r="AD15" i="1"/>
  <c r="AD10" i="1"/>
  <c r="AE3" i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<sst xmlns="http://schemas.openxmlformats.org/spreadsheetml/2006/main" count="670" uniqueCount="350">
  <si>
    <t xml:space="preserve">Name: </t>
  </si>
  <si>
    <t>Ftumch Sartre</t>
    <phoneticPr fontId="32" type="noConversion"/>
  </si>
  <si>
    <t xml:space="preserve">Base Class: </t>
  </si>
  <si>
    <t>agoraphobia</t>
    <phoneticPr fontId="32" type="noConversion"/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</si>
  <si>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</si>
  <si>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</si>
  <si>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</si>
  <si>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</si>
  <si>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</si>
  <si>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</si>
  <si>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</si>
  <si>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</si>
  <si>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</si>
  <si>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</si>
  <si>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</si>
  <si>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</si>
  <si>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</si>
  <si>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</si>
  <si>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</si>
  <si>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</si>
  <si>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</si>
  <si>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</si>
  <si>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</si>
  <si>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</si>
  <si>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</si>
  <si>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</si>
  <si>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</si>
  <si>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</si>
  <si>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</si>
  <si>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</si>
  <si>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  <phoneticPr fontId="32" type="noConversion"/>
  </si>
  <si>
    <t>Bonus to Attack</t>
  </si>
  <si>
    <t>BAB SP Cost</t>
  </si>
  <si>
    <t>BAB Feat SP Cost</t>
  </si>
  <si>
    <t>Saving Throws</t>
  </si>
  <si>
    <t>Special Mods</t>
  </si>
  <si>
    <t>Abit SP Cost</t>
  </si>
  <si>
    <t>Faign Death (silent/still)</t>
    <phoneticPr fontId="32" type="noConversion"/>
  </si>
  <si>
    <t>Acrobatics*</t>
  </si>
  <si>
    <t>DEX</t>
  </si>
  <si>
    <t>Simple Weapons</t>
    <phoneticPr fontId="32" type="noConversion"/>
  </si>
  <si>
    <t>Fort</t>
  </si>
  <si>
    <t>Charm Person</t>
    <phoneticPr fontId="32" type="noConversion"/>
  </si>
  <si>
    <t xml:space="preserve">Alchemy </t>
  </si>
  <si>
    <t>INT</t>
  </si>
  <si>
    <t>2nd attack</t>
  </si>
  <si>
    <t>Skill synergy (Loremaster)</t>
  </si>
  <si>
    <t>Appraise</t>
  </si>
  <si>
    <t>Skill synergy (Decptomacy)</t>
  </si>
  <si>
    <t>Climb/Jump*</t>
  </si>
  <si>
    <t>STR</t>
  </si>
  <si>
    <t>Reflex</t>
  </si>
  <si>
    <t>improved unarmed attack</t>
  </si>
  <si>
    <t>Craft ( Tools )</t>
  </si>
  <si>
    <t>iron fist</t>
  </si>
  <si>
    <t>Craft ( B )</t>
  </si>
  <si>
    <t>Improved Iron Fist</t>
  </si>
  <si>
    <t>Craft ( C )</t>
  </si>
  <si>
    <t>Will</t>
  </si>
  <si>
    <t>Craft ( D )</t>
  </si>
  <si>
    <t>Deception</t>
  </si>
  <si>
    <t>CHA</t>
  </si>
  <si>
    <t>Great Fortitude</t>
  </si>
  <si>
    <t>Diplomacy</t>
  </si>
  <si>
    <t>Iron Will</t>
  </si>
  <si>
    <t>Disable Device</t>
  </si>
  <si>
    <t>Disguise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</si>
  <si>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</si>
  <si>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</si>
  <si>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</si>
  <si>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</si>
  <si>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</si>
  <si>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</si>
  <si>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</si>
  <si>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</si>
  <si>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</si>
  <si>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</si>
  <si>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</si>
  <si>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</si>
  <si>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</si>
  <si>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</si>
  <si>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Professions</t>
    <phoneticPr fontId="32" type="noConversion"/>
  </si>
  <si>
    <t xml:space="preserve">Deception </t>
  </si>
  <si>
    <t>Bluff &amp; Intimidate (&amp; Innuendo)</t>
  </si>
  <si>
    <t>Knowledge ( A )</t>
  </si>
  <si>
    <t>Feign Death. Charm person</t>
    <phoneticPr fontId="32" type="noConversion"/>
  </si>
  <si>
    <t>CON</t>
  </si>
  <si>
    <t>Diplomacy &amp; Gather Info</t>
  </si>
  <si>
    <t>Knowledge ( X )</t>
  </si>
  <si>
    <t>Languages</t>
    <phoneticPr fontId="32" type="noConversion"/>
  </si>
  <si>
    <t>Disable Device &amp; Open Lock</t>
  </si>
  <si>
    <t>Knowledge ( Y )</t>
  </si>
  <si>
    <t>Extra skills</t>
    <phoneticPr fontId="32" type="noConversion"/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</si>
  <si>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</si>
  <si>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</si>
  <si>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</si>
  <si>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</si>
  <si>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</si>
  <si>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</si>
  <si>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</si>
  <si>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</si>
  <si>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</si>
  <si>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</si>
  <si>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</si>
  <si>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</si>
  <si>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(Cook/Domestic/StableHand)</t>
    <phoneticPr fontId="32" type="noConversion"/>
  </si>
  <si>
    <t>Stealth</t>
  </si>
  <si>
    <t>Hide &amp; Move Silently</t>
  </si>
  <si>
    <t>Profession (Politics/Spy/LIar)</t>
    <phoneticPr fontId="32" type="noConversion"/>
  </si>
  <si>
    <t>HP</t>
  </si>
  <si>
    <t>Profession ( Mercenary )</t>
    <phoneticPr fontId="32" type="noConversion"/>
  </si>
  <si>
    <t>Profession ( Pirate )</t>
    <phoneticPr fontId="32" type="noConversion"/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</si>
  <si>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</si>
  <si>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</si>
  <si>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</si>
  <si>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</si>
  <si>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</si>
  <si>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</si>
  <si>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</si>
  <si>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</si>
  <si>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</si>
  <si>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</si>
  <si>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</si>
  <si>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body )</t>
    <phoneticPr fontId="32" type="noConversion"/>
  </si>
  <si>
    <t>xForm ( mind )</t>
    <phoneticPr fontId="32" type="noConversion"/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</si>
  <si>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</si>
  <si>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</si>
  <si>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</si>
  <si>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</si>
  <si>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</si>
  <si>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</si>
  <si>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</si>
  <si>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  <phoneticPr fontId="32" type="noConversion"/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</si>
  <si>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</si>
  <si>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Berganese</t>
    <phoneticPr fontId="32" type="noConversion"/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</si>
  <si>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</si>
  <si>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Anderfarnorian</t>
    <phoneticPr fontId="32" type="noConversion"/>
  </si>
  <si>
    <t>Indus Krannish Savine (part)</t>
    <phoneticPr fontId="32" type="noConversion"/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</si>
  <si>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</si>
  <si>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</si>
  <si>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</si>
  <si>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</si>
  <si>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</si>
  <si>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</si>
  <si>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</si>
  <si>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</si>
  <si>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</si>
  <si>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</si>
  <si>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</si>
  <si>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</si>
  <si>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</si>
  <si>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</si>
  <si>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</si>
  <si>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</si>
  <si>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Survivor</t>
    <phoneticPr fontId="32" type="noConversion"/>
  </si>
  <si>
    <t>human</t>
    <phoneticPr fontId="32" type="noConversion"/>
  </si>
  <si>
    <t>BASE CLASS</t>
  </si>
  <si>
    <t>RACE</t>
  </si>
  <si>
    <t>ALIGNMENT</t>
  </si>
  <si>
    <t>DEITY</t>
  </si>
  <si>
    <t>Medium</t>
  </si>
  <si>
    <t>m</t>
    <phoneticPr fontId="32" type="noConversion"/>
  </si>
  <si>
    <t>1.85m</t>
    <phoneticPr fontId="32" type="noConversion"/>
  </si>
  <si>
    <t>80kg</t>
    <phoneticPr fontId="32" type="noConversion"/>
  </si>
  <si>
    <t>blue</t>
    <phoneticPr fontId="32" type="noConversion"/>
  </si>
  <si>
    <t>Silver</t>
    <phoneticPr fontId="32" type="noConversion"/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</si>
  <si>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</si>
  <si>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</si>
  <si>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</si>
  <si>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</si>
  <si>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</si>
  <si>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</si>
  <si>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</si>
  <si>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</si>
  <si>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</si>
  <si>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</si>
  <si>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</si>
  <si>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</si>
  <si>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</si>
  <si>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</si>
  <si>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</si>
  <si>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</si>
  <si>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</si>
  <si>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</si>
  <si>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</si>
  <si>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</si>
  <si>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</si>
  <si>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</si>
  <si>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</si>
  <si>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</si>
  <si>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</si>
  <si>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</si>
  <si>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</si>
  <si>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</si>
  <si>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</si>
  <si>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</si>
  <si>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</si>
  <si>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</si>
  <si>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</si>
  <si>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</si>
  <si>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</si>
  <si>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</si>
  <si>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</si>
  <si>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</si>
  <si>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</si>
  <si>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</si>
  <si>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</si>
  <si>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</si>
  <si>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</si>
  <si>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</si>
  <si>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</si>
  <si>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</si>
  <si>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</si>
  <si>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</si>
  <si>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</si>
  <si>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</si>
  <si>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</si>
  <si>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</si>
  <si>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</si>
  <si>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</si>
  <si>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</si>
  <si>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</si>
  <si>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</si>
  <si>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</si>
  <si>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</si>
  <si>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</si>
  <si>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</si>
  <si>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</si>
  <si>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</si>
  <si>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</si>
  <si>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</si>
  <si>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</si>
  <si>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</si>
  <si>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Simple Weapons</t>
  </si>
  <si>
    <t>1d6</t>
  </si>
  <si>
    <t>RANGE</t>
  </si>
  <si>
    <t>WEIGHT</t>
  </si>
  <si>
    <t>TYPE</t>
  </si>
  <si>
    <t>SPECIAL PROPERTIES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</si>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</sst>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0" fillId="0" borderId="0" xfId="0" applyFont="1"/>
    <xf numFmtId="0" fontId="31" fillId="0" borderId="0" xfId="0" applyFont="1"/>
    <xf numFmtId="0" fontId="0" fillId="0" borderId="0" xfId="0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15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AR69"/>
  <sheetViews>
    <sheetView tabSelected="1" zoomScaleNormal="70" zoomScaleSheetLayoutView="70" zoomScalePageLayoutView="70" workbookViewId="0">
      <selection activeCell="AG5" sqref="AG5"/>
    </sheetView>
  </sheetViews>
  <sheetFormatPr defaultColWidth="8.85546875"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1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8, Diplomacy 8, Disguise 7, Escape Artist* 0, Forgery 2, Handle Animal  7, Heal 1, Perception 5, Perform 4, Ride 2, Search 4, Sense Motive 5, Stealth* 4, Swim 2, Urban Lore 4, Use Rope 2, Wilderness Lore 5, </v>
      </c>
      <c r="AF3" s="27"/>
      <c r="AG3" s="3" t="s">
        <v>40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203"/>
      <c r="AF4" s="27"/>
      <c r="AG4" s="1" t="s">
        <v>45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2</v>
      </c>
      <c r="AM4" s="28">
        <f>AK4*5</f>
        <v>10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48</v>
      </c>
      <c r="B6" s="20">
        <f t="shared" si="0"/>
        <v>5</v>
      </c>
      <c r="C6" s="107" t="s">
        <v>49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50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51</v>
      </c>
      <c r="AM6" s="28"/>
    </row>
    <row r="7" spans="1:41" ht="12.75" customHeight="1">
      <c r="A7" t="s">
        <v>52</v>
      </c>
      <c r="B7" s="20">
        <f t="shared" si="0"/>
        <v>5</v>
      </c>
      <c r="C7" s="21" t="s">
        <v>53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M7" s="28">
        <f>AK7*5</f>
        <v>0</v>
      </c>
    </row>
    <row r="8" spans="1:41" ht="12.75" customHeight="1">
      <c r="A8" s="3" t="s">
        <v>54</v>
      </c>
      <c r="B8" s="20">
        <f t="shared" si="0"/>
        <v>5</v>
      </c>
      <c r="C8" s="21" t="s">
        <v>55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56</v>
      </c>
      <c r="B9" s="20">
        <f t="shared" si="0"/>
        <v>5</v>
      </c>
      <c r="C9" s="21" t="s">
        <v>57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8</v>
      </c>
      <c r="V9" s="26" t="str">
        <f t="shared" si="10"/>
        <v>CHA</v>
      </c>
      <c r="W9" s="25">
        <f t="shared" si="11"/>
        <v>4</v>
      </c>
      <c r="X9" s="26">
        <f t="shared" si="12"/>
        <v>4</v>
      </c>
      <c r="Y9" s="26" t="str">
        <f t="shared" si="17"/>
        <v>Deception</v>
      </c>
      <c r="Z9" s="25">
        <f t="shared" si="18"/>
        <v>8</v>
      </c>
      <c r="AA9" s="26" t="str">
        <f t="shared" si="19"/>
        <v>CHA</v>
      </c>
      <c r="AB9" s="25">
        <f t="shared" si="20"/>
        <v>4</v>
      </c>
      <c r="AC9" s="26">
        <f t="shared" si="21"/>
        <v>4</v>
      </c>
      <c r="AD9" s="25" t="str">
        <f t="shared" si="13"/>
        <v xml:space="preserve">Deception 8,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58</v>
      </c>
      <c r="AM9" s="28"/>
    </row>
    <row r="10" spans="1:41" ht="12.75" customHeight="1">
      <c r="B10" s="20">
        <f t="shared" si="0"/>
        <v>0</v>
      </c>
      <c r="C10" s="21" t="s">
        <v>59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8</v>
      </c>
      <c r="V10" s="26" t="str">
        <f t="shared" si="10"/>
        <v>CHA</v>
      </c>
      <c r="W10" s="25">
        <f t="shared" si="11"/>
        <v>4</v>
      </c>
      <c r="X10" s="26">
        <f t="shared" si="12"/>
        <v>4</v>
      </c>
      <c r="Y10" s="26" t="str">
        <f t="shared" si="17"/>
        <v>Diplomacy</v>
      </c>
      <c r="Z10" s="25">
        <f t="shared" si="18"/>
        <v>8</v>
      </c>
      <c r="AA10" s="26" t="str">
        <f t="shared" si="19"/>
        <v>CHA</v>
      </c>
      <c r="AB10" s="25">
        <f t="shared" si="20"/>
        <v>4</v>
      </c>
      <c r="AC10" s="26">
        <f t="shared" si="21"/>
        <v>4</v>
      </c>
      <c r="AD10" s="25" t="str">
        <f t="shared" si="13"/>
        <v xml:space="preserve">Diplomacy 8,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B11" s="20">
        <f t="shared" si="0"/>
        <v>0</v>
      </c>
      <c r="C11" s="1" t="s">
        <v>60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61</v>
      </c>
      <c r="J11" s="24">
        <f t="shared" si="15"/>
        <v>4</v>
      </c>
      <c r="K11" s="25">
        <f t="shared" si="1"/>
        <v>8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8</v>
      </c>
      <c r="P11" s="26" t="str">
        <f t="shared" si="5"/>
        <v>CHA</v>
      </c>
      <c r="Q11" s="25">
        <f t="shared" si="6"/>
        <v>4</v>
      </c>
      <c r="R11" s="26">
        <f t="shared" si="7"/>
        <v>4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A12" s="1" t="s">
        <v>62</v>
      </c>
      <c r="B12" s="20">
        <f t="shared" si="0"/>
        <v>5</v>
      </c>
      <c r="C12" s="108" t="s">
        <v>63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61</v>
      </c>
      <c r="J12" s="24">
        <f t="shared" si="15"/>
        <v>4</v>
      </c>
      <c r="K12" s="25">
        <f t="shared" si="1"/>
        <v>8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8</v>
      </c>
      <c r="P12" s="26" t="str">
        <f t="shared" si="5"/>
        <v>CHA</v>
      </c>
      <c r="Q12" s="25">
        <f t="shared" si="6"/>
        <v>4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A13" s="1" t="s">
        <v>64</v>
      </c>
      <c r="B13" s="20">
        <f t="shared" si="0"/>
        <v>5</v>
      </c>
      <c r="C13" s="108" t="s">
        <v>65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66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61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7</v>
      </c>
      <c r="V14" s="26" t="str">
        <f t="shared" si="10"/>
        <v>CHA</v>
      </c>
      <c r="W14" s="25">
        <f t="shared" si="11"/>
        <v>4</v>
      </c>
      <c r="X14" s="26">
        <f t="shared" si="12"/>
        <v>3</v>
      </c>
      <c r="Y14" s="26" t="str">
        <f t="shared" si="17"/>
        <v xml:space="preserve">Handle Animal </v>
      </c>
      <c r="Z14" s="25">
        <f t="shared" si="18"/>
        <v>7</v>
      </c>
      <c r="AA14" s="26" t="str">
        <f t="shared" si="19"/>
        <v>CHA</v>
      </c>
      <c r="AB14" s="25">
        <f t="shared" si="20"/>
        <v>4</v>
      </c>
      <c r="AC14" s="26">
        <f t="shared" si="21"/>
        <v>3</v>
      </c>
      <c r="AD14" s="25" t="str">
        <f t="shared" si="13"/>
        <v xml:space="preserve">Handle Animal  7,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7" t="s">
        <v>67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68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69</v>
      </c>
      <c r="AL16" s="10" t="s">
        <v>70</v>
      </c>
      <c r="AM16" s="33" t="s">
        <v>71</v>
      </c>
      <c r="AN16" t="s">
        <v>72</v>
      </c>
      <c r="AO16" t="s">
        <v>73</v>
      </c>
    </row>
    <row r="17" spans="2:44" ht="12.75" customHeight="1">
      <c r="B17" s="20">
        <f t="shared" si="0"/>
        <v>0</v>
      </c>
      <c r="C17" s="21" t="s">
        <v>74</v>
      </c>
      <c r="D17" s="22">
        <v>3</v>
      </c>
      <c r="E17" s="20">
        <f t="shared" si="23"/>
        <v>8</v>
      </c>
      <c r="F17" s="23">
        <f t="shared" si="24"/>
        <v>3</v>
      </c>
      <c r="G17" s="23">
        <v>1</v>
      </c>
      <c r="H17" s="23">
        <f>'Character Sheet'!CS65</f>
        <v>0</v>
      </c>
      <c r="I17" s="23" t="s">
        <v>61</v>
      </c>
      <c r="J17" s="24">
        <f t="shared" si="15"/>
        <v>4</v>
      </c>
      <c r="K17" s="25">
        <f t="shared" si="1"/>
        <v>7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7</v>
      </c>
      <c r="P17" s="26" t="str">
        <f t="shared" si="5"/>
        <v>CHA</v>
      </c>
      <c r="Q17" s="25">
        <f t="shared" si="6"/>
        <v>4</v>
      </c>
      <c r="R17" s="26">
        <f t="shared" si="7"/>
        <v>3</v>
      </c>
      <c r="S17" s="26">
        <v>15</v>
      </c>
      <c r="T17" s="26" t="str">
        <f t="shared" si="8"/>
        <v>Perform</v>
      </c>
      <c r="U17" s="25">
        <f t="shared" si="9"/>
        <v>4</v>
      </c>
      <c r="V17" s="26" t="str">
        <f t="shared" si="10"/>
        <v>CHA</v>
      </c>
      <c r="W17" s="25">
        <f t="shared" si="11"/>
        <v>4</v>
      </c>
      <c r="X17" s="26">
        <f t="shared" si="12"/>
        <v>0</v>
      </c>
      <c r="Y17" s="26" t="str">
        <f t="shared" si="17"/>
        <v>Perform</v>
      </c>
      <c r="Z17" s="25">
        <f t="shared" si="18"/>
        <v>4</v>
      </c>
      <c r="AA17" s="26" t="str">
        <f t="shared" si="19"/>
        <v>CHA</v>
      </c>
      <c r="AB17" s="25">
        <f t="shared" si="20"/>
        <v>4</v>
      </c>
      <c r="AC17" s="26">
        <f t="shared" si="21"/>
        <v>0</v>
      </c>
      <c r="AD17" s="25" t="str">
        <f t="shared" si="13"/>
        <v xml:space="preserve">Perform 4, </v>
      </c>
      <c r="AE17" s="31"/>
      <c r="AF17" s="27"/>
      <c r="AG17" s="10" t="s">
        <v>75</v>
      </c>
      <c r="AH17" s="10" t="s">
        <v>76</v>
      </c>
      <c r="AI17" s="20"/>
      <c r="AJ17" s="20"/>
      <c r="AK17" s="34" t="s">
        <v>50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77</v>
      </c>
      <c r="AR17" t="s">
        <v>78</v>
      </c>
    </row>
    <row r="18" spans="2:44" ht="12.75" customHeight="1">
      <c r="B18" s="20">
        <f t="shared" si="0"/>
        <v>0</v>
      </c>
      <c r="C18" s="3" t="s">
        <v>79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80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156" t="s">
        <v>81</v>
      </c>
      <c r="AI18" s="20"/>
      <c r="AJ18" s="20"/>
      <c r="AK18" s="34" t="s">
        <v>39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82</v>
      </c>
      <c r="AR18" t="s">
        <v>83</v>
      </c>
    </row>
    <row r="19" spans="2:44" ht="12.75" customHeight="1">
      <c r="B19" s="20">
        <f t="shared" si="0"/>
        <v>0</v>
      </c>
      <c r="C19" s="3" t="s">
        <v>84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156" t="s">
        <v>85</v>
      </c>
      <c r="AH19" s="4">
        <v>10</v>
      </c>
      <c r="AI19" s="20"/>
      <c r="AJ19" s="20"/>
      <c r="AK19" s="34" t="s">
        <v>86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8" t="s">
        <v>63</v>
      </c>
      <c r="AR19" s="108" t="s">
        <v>87</v>
      </c>
    </row>
    <row r="20" spans="2:44" ht="12.75" customHeight="1">
      <c r="B20" s="20">
        <f t="shared" si="0"/>
        <v>0</v>
      </c>
      <c r="C20" s="1" t="s">
        <v>88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156" t="s">
        <v>89</v>
      </c>
      <c r="AH20" s="4">
        <v>15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65</v>
      </c>
      <c r="AR20" s="108" t="s">
        <v>90</v>
      </c>
    </row>
    <row r="21" spans="2:44" ht="12.75" customHeight="1">
      <c r="B21" s="20">
        <f t="shared" si="0"/>
        <v>0</v>
      </c>
      <c r="C21" s="1" t="s">
        <v>91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4</v>
      </c>
      <c r="V21" s="26" t="str">
        <f t="shared" si="10"/>
        <v>DEX</v>
      </c>
      <c r="W21" s="25">
        <f t="shared" si="11"/>
        <v>0</v>
      </c>
      <c r="X21" s="26">
        <f t="shared" si="12"/>
        <v>4</v>
      </c>
      <c r="Y21" s="26" t="str">
        <f t="shared" si="17"/>
        <v>Stealth*</v>
      </c>
      <c r="Z21" s="25">
        <f t="shared" si="18"/>
        <v>4</v>
      </c>
      <c r="AA21" s="26" t="str">
        <f t="shared" si="19"/>
        <v>DEX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Stealth* 4, </v>
      </c>
      <c r="AE21" s="31"/>
      <c r="AF21" s="27">
        <v>4</v>
      </c>
      <c r="AG21" s="156" t="s">
        <v>92</v>
      </c>
      <c r="AH21" s="4">
        <v>5</v>
      </c>
      <c r="AI21" s="20"/>
      <c r="AJ21" s="20"/>
      <c r="AK21" s="34" t="s">
        <v>80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93</v>
      </c>
      <c r="AR21" s="108" t="s">
        <v>94</v>
      </c>
    </row>
    <row r="22" spans="2:44" ht="12.75" customHeight="1">
      <c r="B22" s="20">
        <f t="shared" si="0"/>
        <v>0</v>
      </c>
      <c r="C22" s="1" t="s">
        <v>95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61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96</v>
      </c>
      <c r="AR22" t="s">
        <v>97</v>
      </c>
    </row>
    <row r="23" spans="2:44" ht="12.75" customHeight="1">
      <c r="B23" s="20">
        <f t="shared" si="0"/>
        <v>0</v>
      </c>
      <c r="C23" s="1" t="s">
        <v>96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80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98</v>
      </c>
      <c r="AL23" s="41"/>
      <c r="AM23" s="42">
        <v>0</v>
      </c>
      <c r="AN23" s="38">
        <v>7</v>
      </c>
      <c r="AO23" s="39">
        <v>-1</v>
      </c>
      <c r="AQ23" s="1" t="s">
        <v>99</v>
      </c>
      <c r="AR23" t="s">
        <v>100</v>
      </c>
    </row>
    <row r="24" spans="2:44" ht="12.75" customHeight="1">
      <c r="B24" s="20">
        <f t="shared" si="0"/>
        <v>0</v>
      </c>
      <c r="C24" s="109" t="s">
        <v>101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61</v>
      </c>
      <c r="J24" s="24">
        <f t="shared" si="26"/>
        <v>4</v>
      </c>
      <c r="K24" s="25">
        <f t="shared" si="1"/>
        <v>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4</v>
      </c>
      <c r="P24" s="26" t="str">
        <f t="shared" si="5"/>
        <v>CHA</v>
      </c>
      <c r="Q24" s="25">
        <f t="shared" si="6"/>
        <v>4</v>
      </c>
      <c r="R24" s="26">
        <f t="shared" si="7"/>
        <v>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H24" s="4">
        <v>44</v>
      </c>
      <c r="AI24" s="20"/>
      <c r="AJ24" s="20"/>
      <c r="AK24" s="32" t="s">
        <v>102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103</v>
      </c>
      <c r="AR24" t="s">
        <v>104</v>
      </c>
    </row>
    <row r="25" spans="2:44" ht="12.75" customHeight="1">
      <c r="B25" s="20">
        <f t="shared" si="0"/>
        <v>0</v>
      </c>
      <c r="C25" s="3" t="s">
        <v>105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80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106</v>
      </c>
      <c r="AR25" s="108" t="s">
        <v>107</v>
      </c>
    </row>
    <row r="26" spans="2:44" ht="12.75" customHeight="1">
      <c r="B26" s="20">
        <f t="shared" si="0"/>
        <v>0</v>
      </c>
      <c r="C26" s="3" t="s">
        <v>108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80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I26" s="20"/>
      <c r="AJ26" s="20"/>
      <c r="AK26" s="32" t="s">
        <v>109</v>
      </c>
      <c r="AL26" s="4">
        <v>32</v>
      </c>
      <c r="AM26" s="28">
        <f>(HP-CON)*2</f>
        <v>40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110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80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111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80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112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113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39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99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114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80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115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117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39</v>
      </c>
      <c r="J35" s="24">
        <f t="shared" si="26"/>
        <v>0</v>
      </c>
      <c r="K35" s="25">
        <f t="shared" ref="K35:K48" si="27">IF(G35=1,IF(F35&lt;&gt;0,F35+J35+H35,0),F35+J35+H35)</f>
        <v>4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4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118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50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119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120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61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121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39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122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80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7" t="s">
        <v>123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98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7" t="s">
        <v>124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98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125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98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126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98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127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98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128</v>
      </c>
      <c r="B46" s="27"/>
      <c r="C46" s="21" t="s">
        <v>129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98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130</v>
      </c>
      <c r="B47" s="27"/>
      <c r="C47" s="21" t="s">
        <v>131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98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 t="s">
        <v>132</v>
      </c>
      <c r="B48" s="20">
        <v>0</v>
      </c>
      <c r="C48" s="21" t="s">
        <v>133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98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134</v>
      </c>
      <c r="B49" s="20">
        <f t="shared" si="0"/>
        <v>5</v>
      </c>
      <c r="C49" s="21" t="s">
        <v>135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98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136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7" t="s">
        <v>137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138</v>
      </c>
      <c r="AH53" s="59">
        <v>201</v>
      </c>
      <c r="AI53" s="51" t="s">
        <v>32</v>
      </c>
      <c r="AJ53" s="51" t="s">
        <v>139</v>
      </c>
      <c r="AK53" s="60"/>
      <c r="AL53" s="60"/>
      <c r="AM53" s="51" t="s">
        <v>36</v>
      </c>
    </row>
    <row r="54" spans="1:39" ht="12.75" customHeight="1">
      <c r="B54" s="2">
        <f>SUM(B3:B52)</f>
        <v>60</v>
      </c>
      <c r="C54" s="4"/>
      <c r="E54" s="2">
        <f>SUM(E3:E49)</f>
        <v>53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24</v>
      </c>
      <c r="AJ54" s="2">
        <f>SUM(AJ3:AJ52)</f>
        <v>10</v>
      </c>
      <c r="AM54" s="2">
        <f>AM4+AM7+AM10+AM26</f>
        <v>60</v>
      </c>
    </row>
    <row r="55" spans="1:39" ht="12.75" customHeight="1">
      <c r="A55" s="64" t="s">
        <v>140</v>
      </c>
      <c r="B55" s="2">
        <f>SUM(54:54)</f>
        <v>207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141</v>
      </c>
      <c r="B57" s="65">
        <f>AH53</f>
        <v>201</v>
      </c>
      <c r="C57" s="64"/>
      <c r="AG57" s="64" t="s">
        <v>142</v>
      </c>
      <c r="AH57" s="66">
        <f>TOTAL_SP-USED_SP</f>
        <v>-6</v>
      </c>
    </row>
    <row r="58" spans="1:39" ht="12.75" customHeight="1">
      <c r="A58" s="64" t="s">
        <v>143</v>
      </c>
      <c r="B58" s="2">
        <f>ROUNDDOWN(TOTAL_SP/50,0)</f>
        <v>4</v>
      </c>
      <c r="C58" s="64"/>
      <c r="D58" s="64" t="s">
        <v>144</v>
      </c>
      <c r="E58" s="67">
        <v>3</v>
      </c>
    </row>
    <row r="59" spans="1:39" ht="12.75" customHeight="1">
      <c r="A59" s="64" t="s">
        <v>145</v>
      </c>
      <c r="B59" s="2">
        <f>CON+(RL*5)</f>
        <v>32</v>
      </c>
      <c r="C59" s="64"/>
      <c r="D59" s="64" t="s">
        <v>146</v>
      </c>
      <c r="E59" s="67">
        <f>RL+2</f>
        <v>6</v>
      </c>
    </row>
    <row r="60" spans="1:39" ht="12.75" customHeight="1">
      <c r="A60" s="64" t="s">
        <v>147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148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0.29850746268656714</v>
      </c>
      <c r="C63" s="64" t="str">
        <f>IF(B63&gt;0.375,"Over",IF(B63&gt;0.125,"Normal",IF(B63&lt;=0.125,"Under","error")))</f>
        <v>Normal</v>
      </c>
    </row>
    <row r="64" spans="1:39">
      <c r="A64" s="7" t="s">
        <v>149</v>
      </c>
      <c r="B64" s="70">
        <f>E54/TOTAL_SP</f>
        <v>0.26368159203980102</v>
      </c>
      <c r="C64" s="64" t="str">
        <f>IF(B64&gt;0.375,"Over",IF(B64&gt;0.125,"Normal",IF(B64&lt;=0.125,"Under","error")))</f>
        <v>Normal</v>
      </c>
    </row>
    <row r="65" spans="1:3">
      <c r="A65" s="7" t="s">
        <v>150</v>
      </c>
      <c r="B65" s="70">
        <f>(AI54+AJ54)/TOTAL_SP</f>
        <v>0.1691542288557214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151</v>
      </c>
      <c r="B66" s="70">
        <f>(AM54)/TOTAL_SP</f>
        <v>0.29850746268656714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honeticPr fontId="32" type="noConversion"/>
  <pageMargins left="0.35972222222222222" right="0.34027777777777779" top="0.32013888888888886" bottom="0.2902777777777778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pageSetUpPr fitToPage="1"/>
  </sheetPr>
  <dimension ref="A1:DL177"/>
  <sheetViews>
    <sheetView showGridLines="0" showRowColHeaders="0" view="pageBreakPreview" topLeftCell="A7" zoomScale="70" zoomScaleNormal="40" zoomScaleSheetLayoutView="70" zoomScalePageLayoutView="40" workbookViewId="0">
      <selection activeCell="CS100" sqref="CS100:CV101"/>
    </sheetView>
  </sheetViews>
  <sheetFormatPr defaultColWidth="0" defaultRowHeight="12.75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5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13" t="str">
        <f>FeatSheet!B1</f>
        <v>Ftumch Sartre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79"/>
    </row>
    <row r="3" spans="1:101" s="76" customFormat="1" ht="15" customHeight="1" thickBot="1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79"/>
    </row>
    <row r="4" spans="1:101" s="76" customFormat="1" ht="14.25">
      <c r="A4" s="77"/>
      <c r="B4" s="78" t="s">
        <v>152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153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79"/>
    </row>
    <row r="5" spans="1:101" s="76" customFormat="1" ht="14.25" customHeight="1" thickBot="1">
      <c r="A5" s="77"/>
      <c r="B5" s="214" t="s">
        <v>154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 t="s">
        <v>155</v>
      </c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79"/>
    </row>
    <row r="6" spans="1:101" s="76" customFormat="1" ht="15" customHeight="1" thickBot="1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79"/>
    </row>
    <row r="7" spans="1:101" s="76" customFormat="1" ht="14.25">
      <c r="A7" s="77"/>
      <c r="B7" s="78" t="s">
        <v>156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157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158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159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79"/>
    </row>
    <row r="8" spans="1:101" s="76" customFormat="1" ht="14.25" customHeight="1" thickBot="1">
      <c r="A8" s="77"/>
      <c r="B8" s="220">
        <f>RL</f>
        <v>4</v>
      </c>
      <c r="C8" s="220"/>
      <c r="D8" s="220"/>
      <c r="E8" s="220"/>
      <c r="F8" s="220"/>
      <c r="G8" s="220"/>
      <c r="H8" s="220"/>
      <c r="I8" s="78"/>
      <c r="J8" s="221" t="s">
        <v>160</v>
      </c>
      <c r="K8" s="221"/>
      <c r="L8" s="221"/>
      <c r="M8" s="221"/>
      <c r="N8" s="221"/>
      <c r="O8" s="221"/>
      <c r="P8" s="221"/>
      <c r="Q8" s="78"/>
      <c r="R8" s="222">
        <v>53</v>
      </c>
      <c r="S8" s="222"/>
      <c r="T8" s="222"/>
      <c r="U8" s="222"/>
      <c r="V8" s="222"/>
      <c r="W8" s="222"/>
      <c r="X8" s="222"/>
      <c r="Y8" s="78"/>
      <c r="Z8" s="216" t="s">
        <v>161</v>
      </c>
      <c r="AA8" s="216"/>
      <c r="AB8" s="216"/>
      <c r="AC8" s="216"/>
      <c r="AD8" s="216"/>
      <c r="AE8" s="216"/>
      <c r="AF8" s="216"/>
      <c r="AG8" s="78"/>
      <c r="AH8" s="217" t="s">
        <v>162</v>
      </c>
      <c r="AI8" s="217"/>
      <c r="AJ8" s="217"/>
      <c r="AK8" s="217"/>
      <c r="AL8" s="217"/>
      <c r="AM8" s="217"/>
      <c r="AN8" s="217"/>
      <c r="AO8" s="158"/>
      <c r="AP8" s="218" t="s">
        <v>163</v>
      </c>
      <c r="AQ8" s="218"/>
      <c r="AR8" s="218"/>
      <c r="AS8" s="218"/>
      <c r="AT8" s="218"/>
      <c r="AU8" s="218"/>
      <c r="AV8" s="218"/>
      <c r="AW8" s="78"/>
      <c r="AX8" s="215" t="s">
        <v>164</v>
      </c>
      <c r="AY8" s="215"/>
      <c r="AZ8" s="215"/>
      <c r="BA8" s="215"/>
      <c r="BB8" s="215"/>
      <c r="BC8" s="215"/>
      <c r="BD8" s="215"/>
      <c r="BE8" s="78"/>
      <c r="BF8" s="215" t="s">
        <v>165</v>
      </c>
      <c r="BG8" s="215"/>
      <c r="BH8" s="215"/>
      <c r="BI8" s="215"/>
      <c r="BJ8" s="215"/>
      <c r="BK8" s="215"/>
      <c r="BL8" s="215"/>
      <c r="BM8" s="78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79"/>
    </row>
    <row r="9" spans="1:101" s="76" customFormat="1" ht="15" customHeight="1" thickBot="1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58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7"/>
      <c r="CH9" s="157"/>
      <c r="CI9" s="157"/>
      <c r="CJ9" s="157"/>
      <c r="CK9" s="157"/>
      <c r="CL9" s="157"/>
      <c r="CM9" s="157"/>
      <c r="CN9" s="157"/>
      <c r="CO9" s="157"/>
      <c r="CP9" s="157"/>
      <c r="CQ9" s="157"/>
      <c r="CR9" s="157"/>
      <c r="CS9" s="157"/>
      <c r="CT9" s="157"/>
      <c r="CU9" s="157"/>
      <c r="CV9" s="157"/>
      <c r="CW9" s="79"/>
    </row>
    <row r="10" spans="1:101" s="76" customFormat="1" ht="14.25">
      <c r="A10" s="77"/>
      <c r="B10" s="219" t="s">
        <v>166</v>
      </c>
      <c r="C10" s="219"/>
      <c r="D10" s="219"/>
      <c r="E10" s="219"/>
      <c r="F10" s="219"/>
      <c r="G10" s="219"/>
      <c r="H10" s="78"/>
      <c r="I10" s="78"/>
      <c r="J10" s="78" t="s">
        <v>167</v>
      </c>
      <c r="K10" s="78"/>
      <c r="L10" s="78"/>
      <c r="M10" s="78"/>
      <c r="N10" s="78"/>
      <c r="O10" s="78"/>
      <c r="P10" s="78"/>
      <c r="Q10" s="78"/>
      <c r="R10" s="78" t="s">
        <v>168</v>
      </c>
      <c r="S10" s="78"/>
      <c r="T10" s="78"/>
      <c r="U10" s="78"/>
      <c r="V10" s="78"/>
      <c r="W10" s="78"/>
      <c r="X10" s="78"/>
      <c r="Y10" s="78"/>
      <c r="Z10" s="78" t="s">
        <v>169</v>
      </c>
      <c r="AA10" s="78"/>
      <c r="AB10" s="78"/>
      <c r="AC10" s="78"/>
      <c r="AD10" s="78"/>
      <c r="AE10" s="78"/>
      <c r="AF10" s="78"/>
      <c r="AG10" s="78"/>
      <c r="AH10" s="78" t="s">
        <v>170</v>
      </c>
      <c r="AI10" s="78"/>
      <c r="AJ10" s="78"/>
      <c r="AK10" s="78"/>
      <c r="AL10" s="78"/>
      <c r="AM10" s="78"/>
      <c r="AN10" s="78"/>
      <c r="AO10" s="78"/>
      <c r="AP10" s="78" t="s">
        <v>171</v>
      </c>
      <c r="AQ10" s="78"/>
      <c r="AR10" s="78"/>
      <c r="AS10" s="78"/>
      <c r="AT10" s="78"/>
      <c r="AU10" s="78"/>
      <c r="AV10" s="78"/>
      <c r="AW10" s="78"/>
      <c r="AX10" s="78" t="s">
        <v>172</v>
      </c>
      <c r="AY10" s="78"/>
      <c r="AZ10" s="78"/>
      <c r="BA10" s="78"/>
      <c r="BB10" s="78"/>
      <c r="BC10" s="78"/>
      <c r="BD10" s="78"/>
      <c r="BE10" s="78"/>
      <c r="BF10" s="78" t="s">
        <v>173</v>
      </c>
      <c r="BG10" s="78"/>
      <c r="BH10" s="78"/>
      <c r="BI10" s="78"/>
      <c r="BJ10" s="78"/>
      <c r="BK10" s="78"/>
      <c r="BL10" s="78"/>
      <c r="BM10" s="78"/>
      <c r="BN10" s="157"/>
      <c r="BO10" s="157"/>
      <c r="BP10" s="204" t="s">
        <v>174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>
      <c r="A12" s="77"/>
      <c r="B12" s="228" t="s">
        <v>175</v>
      </c>
      <c r="C12" s="228"/>
      <c r="D12" s="228"/>
      <c r="E12" s="228"/>
      <c r="F12" s="228"/>
      <c r="G12" s="228"/>
      <c r="H12" s="78"/>
      <c r="I12" s="211" t="s">
        <v>176</v>
      </c>
      <c r="J12" s="211"/>
      <c r="K12" s="211"/>
      <c r="L12" s="211"/>
      <c r="M12" s="78"/>
      <c r="N12" s="211" t="s">
        <v>177</v>
      </c>
      <c r="O12" s="211"/>
      <c r="P12" s="211"/>
      <c r="Q12" s="211"/>
      <c r="R12" s="78"/>
      <c r="S12" s="229" t="s">
        <v>178</v>
      </c>
      <c r="T12" s="229"/>
      <c r="U12" s="229"/>
      <c r="V12" s="229"/>
      <c r="W12" s="78"/>
      <c r="X12" s="229" t="s">
        <v>179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180</v>
      </c>
      <c r="AL12" s="212"/>
      <c r="AM12" s="212"/>
      <c r="AN12" s="212"/>
      <c r="AO12" s="78"/>
      <c r="AP12" s="205" t="s">
        <v>181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182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1"/>
      <c r="BZ12" s="111"/>
      <c r="CA12" s="111"/>
      <c r="CB12" s="111"/>
      <c r="CC12" s="78"/>
      <c r="CD12" s="211"/>
      <c r="CE12" s="211"/>
      <c r="CF12" s="211"/>
      <c r="CG12" s="211"/>
      <c r="CH12" s="78"/>
      <c r="CI12" s="209" t="s">
        <v>183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0"/>
    </row>
    <row r="13" spans="1:101" s="76" customFormat="1" ht="13.5" customHeight="1" thickBot="1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1"/>
      <c r="BZ13" s="111"/>
      <c r="CA13" s="111"/>
      <c r="CB13" s="111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0"/>
    </row>
    <row r="14" spans="1:101" ht="13.5" customHeight="1" thickBot="1">
      <c r="A14" s="81"/>
      <c r="B14" s="223" t="s">
        <v>50</v>
      </c>
      <c r="C14" s="223"/>
      <c r="D14" s="223"/>
      <c r="E14" s="223"/>
      <c r="F14" s="223"/>
      <c r="G14" s="223"/>
      <c r="H14" s="82"/>
      <c r="I14" s="224">
        <f>STR</f>
        <v>10</v>
      </c>
      <c r="J14" s="224"/>
      <c r="K14" s="224"/>
      <c r="L14" s="224"/>
      <c r="M14" s="78"/>
      <c r="N14" s="225">
        <f>STRMOD</f>
        <v>0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2"/>
      <c r="AC14" s="82"/>
      <c r="AD14" s="223" t="s">
        <v>109</v>
      </c>
      <c r="AE14" s="223"/>
      <c r="AF14" s="223"/>
      <c r="AG14" s="223"/>
      <c r="AH14" s="223"/>
      <c r="AI14" s="223"/>
      <c r="AJ14" s="82"/>
      <c r="AK14" s="210">
        <f>HP</f>
        <v>32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2"/>
      <c r="BY14" s="112"/>
      <c r="BZ14" s="112"/>
      <c r="CA14" s="112"/>
      <c r="CB14" s="112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3"/>
    </row>
    <row r="15" spans="1:101" ht="13.5" customHeight="1" thickBot="1">
      <c r="A15" s="81"/>
      <c r="B15" s="223"/>
      <c r="C15" s="223"/>
      <c r="D15" s="223"/>
      <c r="E15" s="223"/>
      <c r="F15" s="223"/>
      <c r="G15" s="223"/>
      <c r="H15" s="82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2"/>
      <c r="AC15" s="82"/>
      <c r="AD15" s="223"/>
      <c r="AE15" s="223"/>
      <c r="AF15" s="223"/>
      <c r="AG15" s="223"/>
      <c r="AH15" s="223"/>
      <c r="AI15" s="223"/>
      <c r="AJ15" s="82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2"/>
      <c r="BY15" s="112"/>
      <c r="BZ15" s="112"/>
      <c r="CA15" s="112"/>
      <c r="CB15" s="112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3"/>
    </row>
    <row r="16" spans="1:101" ht="13.5" customHeight="1" thickBot="1">
      <c r="A16" s="81"/>
      <c r="B16" s="230" t="s">
        <v>184</v>
      </c>
      <c r="C16" s="230"/>
      <c r="D16" s="230"/>
      <c r="E16" s="230"/>
      <c r="F16" s="230"/>
      <c r="G16" s="230"/>
      <c r="H16" s="82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2"/>
      <c r="AC16" s="82"/>
      <c r="AD16" s="230" t="s">
        <v>185</v>
      </c>
      <c r="AE16" s="230"/>
      <c r="AF16" s="230"/>
      <c r="AG16" s="230"/>
      <c r="AH16" s="230"/>
      <c r="AI16" s="230"/>
      <c r="AJ16" s="82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0"/>
      <c r="BZ16" s="110"/>
      <c r="CA16" s="110"/>
      <c r="CB16" s="110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23" t="s">
        <v>39</v>
      </c>
      <c r="C18" s="223"/>
      <c r="D18" s="223"/>
      <c r="E18" s="223"/>
      <c r="F18" s="223"/>
      <c r="G18" s="223"/>
      <c r="H18" s="82"/>
      <c r="I18" s="224">
        <f>DEX</f>
        <v>10</v>
      </c>
      <c r="J18" s="224"/>
      <c r="K18" s="224"/>
      <c r="L18" s="224"/>
      <c r="M18" s="78"/>
      <c r="N18" s="225">
        <f>DEXMOD</f>
        <v>0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2"/>
      <c r="AC18" s="82"/>
      <c r="AD18" s="223" t="s">
        <v>186</v>
      </c>
      <c r="AE18" s="223"/>
      <c r="AF18" s="223"/>
      <c r="AG18" s="223"/>
      <c r="AH18" s="223"/>
      <c r="AI18" s="223"/>
      <c r="AJ18" s="82"/>
      <c r="AK18" s="231">
        <f>AP18+AU18+AZ18+BE18</f>
        <v>10</v>
      </c>
      <c r="AL18" s="231"/>
      <c r="AM18" s="231"/>
      <c r="AN18" s="231"/>
      <c r="AO18" s="233" t="s">
        <v>187</v>
      </c>
      <c r="AP18" s="236">
        <v>10</v>
      </c>
      <c r="AQ18" s="236"/>
      <c r="AR18" s="236"/>
      <c r="AS18" s="236"/>
      <c r="AT18" s="234" t="s">
        <v>188</v>
      </c>
      <c r="AU18" s="235">
        <f>IF(MaxDexBonus=0,DEXMOD,IF(MaxDexBonus&gt;DEXMOD,DEXMOD,MaxDexBonus))</f>
        <v>0</v>
      </c>
      <c r="AV18" s="235"/>
      <c r="AW18" s="235"/>
      <c r="AX18" s="235"/>
      <c r="AY18" s="252" t="s">
        <v>188</v>
      </c>
      <c r="AZ18" s="235">
        <f>S129</f>
        <v>0</v>
      </c>
      <c r="BA18" s="235"/>
      <c r="BB18" s="235"/>
      <c r="BC18" s="235"/>
      <c r="BD18" s="252" t="s">
        <v>188</v>
      </c>
      <c r="BE18" s="237"/>
      <c r="BF18" s="237"/>
      <c r="BG18" s="237"/>
      <c r="BH18" s="237"/>
      <c r="BI18" s="233"/>
      <c r="BJ18" s="249" t="s">
        <v>189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187</v>
      </c>
      <c r="BT18" s="235">
        <f>AD119</f>
        <v>0</v>
      </c>
      <c r="BU18" s="235"/>
      <c r="BV18" s="235"/>
      <c r="BW18" s="235"/>
      <c r="BX18" s="252" t="s">
        <v>188</v>
      </c>
      <c r="BY18" s="240"/>
      <c r="BZ18" s="241"/>
      <c r="CA18" s="241"/>
      <c r="CB18" s="242"/>
      <c r="CC18" s="252" t="s">
        <v>188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23"/>
      <c r="C19" s="223"/>
      <c r="D19" s="223"/>
      <c r="E19" s="223"/>
      <c r="F19" s="223"/>
      <c r="G19" s="223"/>
      <c r="H19" s="82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2"/>
      <c r="AC19" s="82"/>
      <c r="AD19" s="223"/>
      <c r="AE19" s="223"/>
      <c r="AF19" s="223"/>
      <c r="AG19" s="223"/>
      <c r="AH19" s="223"/>
      <c r="AI19" s="223"/>
      <c r="AJ19" s="82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30" t="s">
        <v>190</v>
      </c>
      <c r="C20" s="230"/>
      <c r="D20" s="230"/>
      <c r="E20" s="230"/>
      <c r="F20" s="230"/>
      <c r="G20" s="230"/>
      <c r="H20" s="82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2"/>
      <c r="AC20" s="82"/>
      <c r="AD20" s="230" t="s">
        <v>191</v>
      </c>
      <c r="AE20" s="230"/>
      <c r="AF20" s="230"/>
      <c r="AG20" s="230"/>
      <c r="AH20" s="230"/>
      <c r="AI20" s="230"/>
      <c r="AJ20" s="82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192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54" t="s">
        <v>180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193</v>
      </c>
      <c r="AV21" s="253"/>
      <c r="AW21" s="253"/>
      <c r="AX21" s="253"/>
      <c r="AY21" s="78"/>
      <c r="AZ21" s="253" t="s">
        <v>194</v>
      </c>
      <c r="BA21" s="253"/>
      <c r="BB21" s="253"/>
      <c r="BC21" s="253"/>
      <c r="BD21" s="78"/>
      <c r="BE21" s="253" t="s">
        <v>195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180</v>
      </c>
      <c r="BP21" s="254"/>
      <c r="BQ21" s="254"/>
      <c r="BR21" s="254"/>
      <c r="BS21" s="78"/>
      <c r="BT21" s="253" t="s">
        <v>196</v>
      </c>
      <c r="BU21" s="253"/>
      <c r="BV21" s="253"/>
      <c r="BW21" s="253"/>
      <c r="BX21" s="78"/>
      <c r="BY21" s="253" t="s">
        <v>197</v>
      </c>
      <c r="BZ21" s="253"/>
      <c r="CA21" s="253"/>
      <c r="CB21" s="253"/>
      <c r="CC21" s="78"/>
      <c r="CD21" s="255" t="s">
        <v>195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198</v>
      </c>
      <c r="CO21" s="255"/>
      <c r="CP21" s="255"/>
      <c r="CQ21" s="255"/>
      <c r="CR21" s="78"/>
      <c r="CS21" s="232" t="s">
        <v>199</v>
      </c>
      <c r="CT21" s="232"/>
      <c r="CU21" s="232"/>
      <c r="CV21" s="232"/>
      <c r="CW21" s="83"/>
    </row>
    <row r="22" spans="1:116" ht="12.75" customHeight="1" thickBot="1">
      <c r="A22" s="81"/>
      <c r="B22" s="223" t="s">
        <v>86</v>
      </c>
      <c r="C22" s="223"/>
      <c r="D22" s="223"/>
      <c r="E22" s="223"/>
      <c r="F22" s="223"/>
      <c r="G22" s="223"/>
      <c r="H22" s="82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2"/>
      <c r="AC22" s="82"/>
      <c r="AD22" s="82"/>
      <c r="AE22" s="82"/>
      <c r="AF22" s="82"/>
      <c r="AG22" s="82"/>
      <c r="AH22" s="82"/>
      <c r="AI22" s="82"/>
      <c r="AJ22" s="82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3"/>
    </row>
    <row r="23" spans="1:116" ht="13.5" customHeight="1" thickBot="1">
      <c r="A23" s="81"/>
      <c r="B23" s="223"/>
      <c r="C23" s="223"/>
      <c r="D23" s="223"/>
      <c r="E23" s="223"/>
      <c r="F23" s="223"/>
      <c r="G23" s="223"/>
      <c r="H23" s="82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30" t="s">
        <v>200</v>
      </c>
      <c r="C24" s="230"/>
      <c r="D24" s="230"/>
      <c r="E24" s="230"/>
      <c r="F24" s="230"/>
      <c r="G24" s="230"/>
      <c r="H24" s="82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2"/>
      <c r="AC24" s="82"/>
      <c r="AD24" s="223" t="s">
        <v>201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2"/>
      <c r="AP24" s="264">
        <f>AU24+AZ24</f>
        <v>0</v>
      </c>
      <c r="AQ24" s="264"/>
      <c r="AR24" s="264"/>
      <c r="AS24" s="264"/>
      <c r="AT24" s="252" t="s">
        <v>187</v>
      </c>
      <c r="AU24" s="235">
        <f>DEXMOD</f>
        <v>0</v>
      </c>
      <c r="AV24" s="235"/>
      <c r="AW24" s="235"/>
      <c r="AX24" s="235"/>
      <c r="AY24" s="252" t="s">
        <v>188</v>
      </c>
      <c r="AZ24" s="237"/>
      <c r="BA24" s="237"/>
      <c r="BB24" s="237"/>
      <c r="BC24" s="237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 thickBo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2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2"/>
      <c r="BE25" s="82"/>
      <c r="BF25" s="82"/>
      <c r="BG25" s="263"/>
      <c r="BH25" s="263"/>
      <c r="BI25" s="256" t="s">
        <v>202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203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6</v>
      </c>
      <c r="CS25" s="273"/>
      <c r="CT25" s="273"/>
      <c r="CU25" s="273"/>
      <c r="CV25" s="273"/>
      <c r="CW25" s="83"/>
    </row>
    <row r="26" spans="1:116" ht="13.5" customHeight="1" thickBot="1">
      <c r="A26" s="81"/>
      <c r="B26" s="223" t="s">
        <v>44</v>
      </c>
      <c r="C26" s="223"/>
      <c r="D26" s="223"/>
      <c r="E26" s="223"/>
      <c r="F26" s="223"/>
      <c r="G26" s="223"/>
      <c r="H26" s="82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2"/>
      <c r="AC26" s="82"/>
      <c r="AD26" s="230" t="s">
        <v>204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2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2"/>
      <c r="BE26" s="82"/>
      <c r="BF26" s="82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3"/>
    </row>
    <row r="27" spans="1:116" ht="12.75" customHeight="1" thickBot="1">
      <c r="A27" s="81"/>
      <c r="B27" s="223"/>
      <c r="C27" s="223"/>
      <c r="D27" s="223"/>
      <c r="E27" s="223"/>
      <c r="F27" s="223"/>
      <c r="G27" s="223"/>
      <c r="H27" s="82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74" t="s">
        <v>180</v>
      </c>
      <c r="AQ27" s="274"/>
      <c r="AR27" s="274"/>
      <c r="AS27" s="274"/>
      <c r="AT27" s="82"/>
      <c r="AU27" s="262" t="s">
        <v>193</v>
      </c>
      <c r="AV27" s="262"/>
      <c r="AW27" s="262"/>
      <c r="AX27" s="262"/>
      <c r="AY27" s="82"/>
      <c r="AZ27" s="262" t="s">
        <v>195</v>
      </c>
      <c r="BA27" s="262"/>
      <c r="BB27" s="262"/>
      <c r="BC27" s="262"/>
      <c r="BD27" s="82"/>
      <c r="BE27" s="82"/>
      <c r="BF27" s="82"/>
      <c r="BG27" s="263"/>
      <c r="BH27" s="263"/>
      <c r="BI27" s="258" t="s">
        <v>205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206</v>
      </c>
      <c r="BZ27" s="259"/>
      <c r="CA27" s="259"/>
      <c r="CB27" s="259"/>
      <c r="CC27" s="82"/>
      <c r="CD27" s="260" t="s">
        <v>207</v>
      </c>
      <c r="CE27" s="260"/>
      <c r="CF27" s="260"/>
      <c r="CG27" s="260"/>
      <c r="CH27" s="82"/>
      <c r="CI27" s="259" t="s">
        <v>177</v>
      </c>
      <c r="CJ27" s="259"/>
      <c r="CK27" s="259"/>
      <c r="CL27" s="259"/>
      <c r="CM27" s="82"/>
      <c r="CN27" s="261" t="s">
        <v>208</v>
      </c>
      <c r="CO27" s="261"/>
      <c r="CP27" s="261"/>
      <c r="CQ27" s="261"/>
      <c r="CR27" s="82"/>
      <c r="CS27" s="259" t="s">
        <v>195</v>
      </c>
      <c r="CT27" s="259"/>
      <c r="CU27" s="259"/>
      <c r="CV27" s="259"/>
      <c r="CW27" s="83"/>
    </row>
    <row r="28" spans="1:116" ht="13.5" customHeight="1" thickBot="1">
      <c r="A28" s="81"/>
      <c r="B28" s="230" t="s">
        <v>209</v>
      </c>
      <c r="C28" s="230"/>
      <c r="D28" s="230"/>
      <c r="E28" s="230"/>
      <c r="F28" s="230"/>
      <c r="G28" s="230"/>
      <c r="H28" s="82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74"/>
      <c r="AQ28" s="274"/>
      <c r="AR28" s="274"/>
      <c r="AS28" s="274"/>
      <c r="AT28" s="82"/>
      <c r="AU28" s="262"/>
      <c r="AV28" s="262"/>
      <c r="AW28" s="262"/>
      <c r="AX28" s="262"/>
      <c r="AY28" s="82"/>
      <c r="AZ28" s="262"/>
      <c r="BA28" s="262"/>
      <c r="BB28" s="262"/>
      <c r="BC28" s="262"/>
      <c r="BD28" s="82"/>
      <c r="BE28" s="82"/>
      <c r="BF28" s="82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2"/>
      <c r="CD28" s="260"/>
      <c r="CE28" s="260"/>
      <c r="CF28" s="260"/>
      <c r="CG28" s="260"/>
      <c r="CH28" s="82"/>
      <c r="CI28" s="259"/>
      <c r="CJ28" s="259"/>
      <c r="CK28" s="259"/>
      <c r="CL28" s="259"/>
      <c r="CM28" s="82"/>
      <c r="CN28" s="261"/>
      <c r="CO28" s="261"/>
      <c r="CP28" s="261"/>
      <c r="CQ28" s="261"/>
      <c r="CR28" s="82"/>
      <c r="CS28" s="259"/>
      <c r="CT28" s="259"/>
      <c r="CU28" s="259"/>
      <c r="CV28" s="259"/>
      <c r="CW28" s="83"/>
    </row>
    <row r="29" spans="1:116" ht="13.5" thickBot="1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23" t="s">
        <v>210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6"/>
      <c r="AU29" s="272">
        <f>FeatSheet!E59</f>
        <v>6</v>
      </c>
      <c r="AV29" s="272"/>
      <c r="AW29" s="272"/>
      <c r="AX29" s="272"/>
      <c r="AY29" s="272"/>
      <c r="AZ29" s="272"/>
      <c r="BA29" s="272"/>
      <c r="BB29" s="272"/>
      <c r="BC29" s="27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 thickBot="1">
      <c r="A30" s="81"/>
      <c r="B30" s="223" t="s">
        <v>80</v>
      </c>
      <c r="C30" s="223"/>
      <c r="D30" s="223"/>
      <c r="E30" s="223"/>
      <c r="F30" s="223"/>
      <c r="G30" s="223"/>
      <c r="H30" s="82"/>
      <c r="I30" s="224">
        <f>WIS</f>
        <v>13</v>
      </c>
      <c r="J30" s="224"/>
      <c r="K30" s="224"/>
      <c r="L30" s="224"/>
      <c r="M30" s="78"/>
      <c r="N30" s="225">
        <f>WISMOD</f>
        <v>1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2"/>
      <c r="AC30" s="82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6"/>
      <c r="AU30" s="272"/>
      <c r="AV30" s="272"/>
      <c r="AW30" s="272"/>
      <c r="AX30" s="272"/>
      <c r="AY30" s="272"/>
      <c r="AZ30" s="272"/>
      <c r="BA30" s="272"/>
      <c r="BB30" s="272"/>
      <c r="BC30" s="272"/>
      <c r="BD30" s="82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187</v>
      </c>
      <c r="CI30" s="266">
        <f>FeatSheet!J3-ArCkPen</f>
        <v>0</v>
      </c>
      <c r="CJ30" s="266"/>
      <c r="CK30" s="266"/>
      <c r="CL30" s="266"/>
      <c r="CM30" s="265" t="s">
        <v>188</v>
      </c>
      <c r="CN30" s="266">
        <f>ROUNDDOWN(FeatSheet!F3,0)</f>
        <v>0</v>
      </c>
      <c r="CO30" s="266"/>
      <c r="CP30" s="266"/>
      <c r="CQ30" s="266"/>
      <c r="CR30" s="265" t="s">
        <v>188</v>
      </c>
      <c r="CS30" s="266"/>
      <c r="CT30" s="266"/>
      <c r="CU30" s="266"/>
      <c r="CV30" s="266"/>
      <c r="CW30" s="83"/>
    </row>
    <row r="31" spans="1:116" ht="13.5" customHeight="1" thickBot="1">
      <c r="A31" s="81"/>
      <c r="B31" s="223"/>
      <c r="C31" s="223"/>
      <c r="D31" s="223"/>
      <c r="E31" s="223"/>
      <c r="F31" s="223"/>
      <c r="G31" s="223"/>
      <c r="H31" s="82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2"/>
      <c r="AC31" s="82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6"/>
      <c r="AU31" s="272"/>
      <c r="AV31" s="272"/>
      <c r="AW31" s="272"/>
      <c r="AX31" s="272"/>
      <c r="AY31" s="272"/>
      <c r="AZ31" s="272"/>
      <c r="BA31" s="272"/>
      <c r="BB31" s="272"/>
      <c r="BC31" s="272"/>
      <c r="BD31" s="82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3"/>
      <c r="CZ31" s="71">
        <v>1</v>
      </c>
    </row>
    <row r="32" spans="1:116" ht="13.5" customHeight="1" thickBot="1">
      <c r="A32" s="81"/>
      <c r="B32" s="230" t="s">
        <v>211</v>
      </c>
      <c r="C32" s="230"/>
      <c r="D32" s="230"/>
      <c r="E32" s="230"/>
      <c r="F32" s="230"/>
      <c r="G32" s="230"/>
      <c r="H32" s="82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187</v>
      </c>
      <c r="CI32" s="266">
        <f>FeatSheet!J4</f>
        <v>0</v>
      </c>
      <c r="CJ32" s="266"/>
      <c r="CK32" s="266"/>
      <c r="CL32" s="266"/>
      <c r="CM32" s="265" t="s">
        <v>188</v>
      </c>
      <c r="CN32" s="266">
        <f>ROUNDDOWN(FeatSheet!F4,0)</f>
        <v>0</v>
      </c>
      <c r="CO32" s="266"/>
      <c r="CP32" s="266"/>
      <c r="CQ32" s="266"/>
      <c r="CR32" s="265" t="s">
        <v>188</v>
      </c>
      <c r="CS32" s="266"/>
      <c r="CT32" s="266"/>
      <c r="CU32" s="266"/>
      <c r="CV32" s="266"/>
      <c r="CW32" s="83"/>
    </row>
    <row r="33" spans="1:104" ht="13.5" customHeight="1" thickBo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23" t="s">
        <v>212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6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2"/>
      <c r="BE33" s="82"/>
      <c r="BF33" s="82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3"/>
      <c r="CZ33" s="71">
        <v>2</v>
      </c>
    </row>
    <row r="34" spans="1:104" ht="13.5" customHeight="1" thickBot="1">
      <c r="A34" s="81"/>
      <c r="B34" s="223" t="s">
        <v>61</v>
      </c>
      <c r="C34" s="223"/>
      <c r="D34" s="223"/>
      <c r="E34" s="223"/>
      <c r="F34" s="223"/>
      <c r="G34" s="223"/>
      <c r="H34" s="82"/>
      <c r="I34" s="224">
        <f>CHA</f>
        <v>18</v>
      </c>
      <c r="J34" s="224"/>
      <c r="K34" s="224"/>
      <c r="L34" s="224"/>
      <c r="M34" s="78"/>
      <c r="N34" s="225">
        <f>CHAMOD</f>
        <v>4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2"/>
      <c r="AC34" s="82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6"/>
      <c r="AU34" s="272"/>
      <c r="AV34" s="272"/>
      <c r="AW34" s="272"/>
      <c r="AX34" s="272"/>
      <c r="AY34" s="272"/>
      <c r="AZ34" s="272"/>
      <c r="BA34" s="272"/>
      <c r="BB34" s="272"/>
      <c r="BC34" s="272"/>
      <c r="BD34" s="82"/>
      <c r="BE34" s="82"/>
      <c r="BF34" s="82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187</v>
      </c>
      <c r="CI34" s="266">
        <f>FeatSheet!J5</f>
        <v>0</v>
      </c>
      <c r="CJ34" s="266"/>
      <c r="CK34" s="266"/>
      <c r="CL34" s="266"/>
      <c r="CM34" s="265" t="s">
        <v>188</v>
      </c>
      <c r="CN34" s="266">
        <f>ROUNDDOWN(FeatSheet!F5,0)</f>
        <v>0</v>
      </c>
      <c r="CO34" s="266"/>
      <c r="CP34" s="266"/>
      <c r="CQ34" s="266"/>
      <c r="CR34" s="265" t="s">
        <v>188</v>
      </c>
      <c r="CS34" s="266"/>
      <c r="CT34" s="266"/>
      <c r="CU34" s="266"/>
      <c r="CV34" s="266"/>
      <c r="CW34" s="83"/>
    </row>
    <row r="35" spans="1:104" ht="12.75" customHeight="1" thickBot="1">
      <c r="A35" s="81"/>
      <c r="B35" s="223"/>
      <c r="C35" s="223"/>
      <c r="D35" s="223"/>
      <c r="E35" s="223"/>
      <c r="F35" s="223"/>
      <c r="G35" s="223"/>
      <c r="H35" s="82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2"/>
      <c r="AC35" s="82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6"/>
      <c r="AU35" s="272"/>
      <c r="AV35" s="272"/>
      <c r="AW35" s="272"/>
      <c r="AX35" s="272"/>
      <c r="AY35" s="272"/>
      <c r="AZ35" s="272"/>
      <c r="BA35" s="272"/>
      <c r="BB35" s="272"/>
      <c r="BC35" s="272"/>
      <c r="BD35" s="82"/>
      <c r="BE35" s="82"/>
      <c r="BF35" s="82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3"/>
      <c r="CZ35" s="71">
        <v>3</v>
      </c>
    </row>
    <row r="36" spans="1:104" ht="13.5" customHeight="1" thickBot="1">
      <c r="A36" s="81"/>
      <c r="B36" s="230" t="s">
        <v>213</v>
      </c>
      <c r="C36" s="230"/>
      <c r="D36" s="230"/>
      <c r="E36" s="230"/>
      <c r="F36" s="230"/>
      <c r="G36" s="230"/>
      <c r="H36" s="82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2</v>
      </c>
      <c r="CE36" s="271"/>
      <c r="CF36" s="271"/>
      <c r="CG36" s="271"/>
      <c r="CH36" s="265" t="s">
        <v>187</v>
      </c>
      <c r="CI36" s="266">
        <f>FeatSheet!J6-ArCkPen</f>
        <v>0</v>
      </c>
      <c r="CJ36" s="266"/>
      <c r="CK36" s="266"/>
      <c r="CL36" s="266"/>
      <c r="CM36" s="265" t="s">
        <v>188</v>
      </c>
      <c r="CN36" s="266">
        <f>ROUNDDOWN(FeatSheet!F6,0)</f>
        <v>2</v>
      </c>
      <c r="CO36" s="266"/>
      <c r="CP36" s="266"/>
      <c r="CQ36" s="266"/>
      <c r="CR36" s="265" t="s">
        <v>188</v>
      </c>
      <c r="CS36" s="266"/>
      <c r="CT36" s="266"/>
      <c r="CU36" s="266"/>
      <c r="CV36" s="266"/>
      <c r="CW36" s="83"/>
    </row>
    <row r="37" spans="1:104" ht="13.5" customHeight="1" thickBo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3"/>
      <c r="CZ37" s="71">
        <v>4</v>
      </c>
    </row>
    <row r="38" spans="1:104" ht="12.75" customHeight="1" thickBot="1">
      <c r="A38" s="81"/>
      <c r="B38" s="275" t="s">
        <v>214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2"/>
      <c r="N38" s="212" t="s">
        <v>180</v>
      </c>
      <c r="O38" s="212"/>
      <c r="P38" s="212"/>
      <c r="Q38" s="212"/>
      <c r="R38" s="78"/>
      <c r="S38" s="211" t="s">
        <v>215</v>
      </c>
      <c r="T38" s="211"/>
      <c r="U38" s="211"/>
      <c r="V38" s="211"/>
      <c r="W38" s="78"/>
      <c r="X38" s="211" t="s">
        <v>177</v>
      </c>
      <c r="Y38" s="211"/>
      <c r="Z38" s="211"/>
      <c r="AA38" s="211"/>
      <c r="AB38" s="78"/>
      <c r="AC38" s="211" t="s">
        <v>216</v>
      </c>
      <c r="AD38" s="211"/>
      <c r="AE38" s="211"/>
      <c r="AF38" s="211"/>
      <c r="AG38" s="78"/>
      <c r="AH38" s="211" t="s">
        <v>195</v>
      </c>
      <c r="AI38" s="211"/>
      <c r="AJ38" s="211"/>
      <c r="AK38" s="211"/>
      <c r="AL38" s="78"/>
      <c r="AM38" s="229" t="s">
        <v>179</v>
      </c>
      <c r="AN38" s="229"/>
      <c r="AO38" s="229"/>
      <c r="AP38" s="229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0</v>
      </c>
      <c r="CE38" s="271"/>
      <c r="CF38" s="271"/>
      <c r="CG38" s="271"/>
      <c r="CH38" s="265" t="s">
        <v>187</v>
      </c>
      <c r="CI38" s="266">
        <f>FeatSheet!J7</f>
        <v>0</v>
      </c>
      <c r="CJ38" s="266"/>
      <c r="CK38" s="266"/>
      <c r="CL38" s="266"/>
      <c r="CM38" s="265" t="s">
        <v>188</v>
      </c>
      <c r="CN38" s="266">
        <f>ROUNDDOWN(FeatSheet!F7,0)</f>
        <v>0</v>
      </c>
      <c r="CO38" s="266"/>
      <c r="CP38" s="266"/>
      <c r="CQ38" s="266"/>
      <c r="CR38" s="265" t="s">
        <v>188</v>
      </c>
      <c r="CS38" s="266"/>
      <c r="CT38" s="266"/>
      <c r="CU38" s="266"/>
      <c r="CV38" s="266"/>
      <c r="CW38" s="83"/>
    </row>
    <row r="39" spans="1:104" ht="13.5" customHeight="1" thickBot="1">
      <c r="A39" s="81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2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3"/>
      <c r="CZ39" s="71">
        <v>5</v>
      </c>
    </row>
    <row r="40" spans="1:104" ht="12.75" customHeight="1" thickBot="1">
      <c r="A40" s="81"/>
      <c r="B40" s="223" t="s">
        <v>217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2"/>
      <c r="N40" s="264">
        <f>S40+X40+AC40+AH40</f>
        <v>3</v>
      </c>
      <c r="O40" s="264"/>
      <c r="P40" s="264"/>
      <c r="Q40" s="264"/>
      <c r="R40" s="252" t="s">
        <v>187</v>
      </c>
      <c r="S40" s="235">
        <f>FeatSheet!AK4</f>
        <v>2</v>
      </c>
      <c r="T40" s="235"/>
      <c r="U40" s="235"/>
      <c r="V40" s="235"/>
      <c r="W40" s="252" t="s">
        <v>188</v>
      </c>
      <c r="X40" s="276">
        <f>CONMOD</f>
        <v>1</v>
      </c>
      <c r="Y40" s="276"/>
      <c r="Z40" s="276"/>
      <c r="AA40" s="276"/>
      <c r="AB40" s="252" t="s">
        <v>188</v>
      </c>
      <c r="AC40" s="237">
        <v>0</v>
      </c>
      <c r="AD40" s="237"/>
      <c r="AE40" s="237"/>
      <c r="AF40" s="237"/>
      <c r="AG40" s="252" t="s">
        <v>188</v>
      </c>
      <c r="AH40" s="237"/>
      <c r="AI40" s="237"/>
      <c r="AJ40" s="237"/>
      <c r="AK40" s="237"/>
      <c r="AL40" s="233" t="s">
        <v>188</v>
      </c>
      <c r="AM40" s="277"/>
      <c r="AN40" s="277"/>
      <c r="AO40" s="277"/>
      <c r="AP40" s="277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0</v>
      </c>
      <c r="CE40" s="271"/>
      <c r="CF40" s="271"/>
      <c r="CG40" s="271"/>
      <c r="CH40" s="265" t="s">
        <v>187</v>
      </c>
      <c r="CI40" s="266">
        <f>FeatSheet!J8</f>
        <v>0</v>
      </c>
      <c r="CJ40" s="266"/>
      <c r="CK40" s="266"/>
      <c r="CL40" s="266"/>
      <c r="CM40" s="265" t="s">
        <v>188</v>
      </c>
      <c r="CN40" s="266">
        <f>ROUNDDOWN(FeatSheet!F8,0)</f>
        <v>0</v>
      </c>
      <c r="CO40" s="266"/>
      <c r="CP40" s="266"/>
      <c r="CQ40" s="266"/>
      <c r="CR40" s="265" t="s">
        <v>188</v>
      </c>
      <c r="CS40" s="266"/>
      <c r="CT40" s="266"/>
      <c r="CU40" s="266"/>
      <c r="CV40" s="266"/>
      <c r="CW40" s="83"/>
    </row>
    <row r="41" spans="1:104" ht="12.75" customHeight="1" thickBot="1">
      <c r="A41" s="81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2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3"/>
      <c r="CZ41" s="71">
        <v>6</v>
      </c>
    </row>
    <row r="42" spans="1:104" ht="13.5" customHeight="1" thickBot="1">
      <c r="A42" s="81"/>
      <c r="B42" s="230" t="s">
        <v>218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2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187</v>
      </c>
      <c r="CI42" s="266">
        <f>FeatSheet!J9</f>
        <v>0</v>
      </c>
      <c r="CJ42" s="266"/>
      <c r="CK42" s="266"/>
      <c r="CL42" s="266"/>
      <c r="CM42" s="265" t="s">
        <v>188</v>
      </c>
      <c r="CN42" s="266">
        <f>ROUNDDOWN(FeatSheet!F9,0)</f>
        <v>0</v>
      </c>
      <c r="CO42" s="266"/>
      <c r="CP42" s="266"/>
      <c r="CQ42" s="266"/>
      <c r="CR42" s="265" t="s">
        <v>188</v>
      </c>
      <c r="CS42" s="266"/>
      <c r="CT42" s="266"/>
      <c r="CU42" s="266"/>
      <c r="CV42" s="266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3"/>
      <c r="CZ43" s="71">
        <v>7</v>
      </c>
    </row>
    <row r="44" spans="1:104" ht="12.75" customHeight="1" thickBot="1">
      <c r="A44" s="81"/>
      <c r="B44" s="223" t="s">
        <v>219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2"/>
      <c r="N44" s="264">
        <f>S44+X44+AC44+AH44</f>
        <v>0</v>
      </c>
      <c r="O44" s="264"/>
      <c r="P44" s="264"/>
      <c r="Q44" s="264"/>
      <c r="R44" s="252" t="s">
        <v>187</v>
      </c>
      <c r="S44" s="235">
        <f>FeatSheet!AK7</f>
        <v>0</v>
      </c>
      <c r="T44" s="235"/>
      <c r="U44" s="235"/>
      <c r="V44" s="235"/>
      <c r="W44" s="252" t="s">
        <v>188</v>
      </c>
      <c r="X44" s="276">
        <f>DEXMOD</f>
        <v>0</v>
      </c>
      <c r="Y44" s="276"/>
      <c r="Z44" s="276"/>
      <c r="AA44" s="276"/>
      <c r="AB44" s="252" t="s">
        <v>188</v>
      </c>
      <c r="AC44" s="237">
        <v>0</v>
      </c>
      <c r="AD44" s="237"/>
      <c r="AE44" s="237"/>
      <c r="AF44" s="237"/>
      <c r="AG44" s="252" t="s">
        <v>188</v>
      </c>
      <c r="AH44" s="237">
        <f>RefMOD</f>
        <v>0</v>
      </c>
      <c r="AI44" s="237"/>
      <c r="AJ44" s="237"/>
      <c r="AK44" s="237"/>
      <c r="AL44" s="233" t="s">
        <v>188</v>
      </c>
      <c r="AM44" s="277"/>
      <c r="AN44" s="277"/>
      <c r="AO44" s="277"/>
      <c r="AP44" s="277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187</v>
      </c>
      <c r="CI44" s="266">
        <f>FeatSheet!J10</f>
        <v>0</v>
      </c>
      <c r="CJ44" s="266"/>
      <c r="CK44" s="266"/>
      <c r="CL44" s="266"/>
      <c r="CM44" s="265" t="s">
        <v>188</v>
      </c>
      <c r="CN44" s="266">
        <f>ROUNDDOWN(FeatSheet!F10,0)</f>
        <v>0</v>
      </c>
      <c r="CO44" s="266"/>
      <c r="CP44" s="266"/>
      <c r="CQ44" s="266"/>
      <c r="CR44" s="265" t="s">
        <v>188</v>
      </c>
      <c r="CS44" s="266"/>
      <c r="CT44" s="266"/>
      <c r="CU44" s="266"/>
      <c r="CV44" s="266"/>
      <c r="CW44" s="83"/>
    </row>
    <row r="45" spans="1:104" ht="12.75" customHeight="1" thickBot="1">
      <c r="A45" s="81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2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3"/>
      <c r="CZ45" s="71">
        <v>8</v>
      </c>
    </row>
    <row r="46" spans="1:104" ht="13.5" customHeight="1" thickBot="1">
      <c r="A46" s="81"/>
      <c r="B46" s="230" t="s">
        <v>220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2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10</v>
      </c>
      <c r="CE46" s="271"/>
      <c r="CF46" s="271"/>
      <c r="CG46" s="271"/>
      <c r="CH46" s="265" t="s">
        <v>187</v>
      </c>
      <c r="CI46" s="266">
        <f>FeatSheet!J11</f>
        <v>4</v>
      </c>
      <c r="CJ46" s="266"/>
      <c r="CK46" s="266"/>
      <c r="CL46" s="266"/>
      <c r="CM46" s="265" t="s">
        <v>188</v>
      </c>
      <c r="CN46" s="266">
        <f>ROUNDDOWN(FeatSheet!F11,0)</f>
        <v>4</v>
      </c>
      <c r="CO46" s="266"/>
      <c r="CP46" s="266"/>
      <c r="CQ46" s="266"/>
      <c r="CR46" s="265" t="s">
        <v>188</v>
      </c>
      <c r="CS46" s="266">
        <v>2</v>
      </c>
      <c r="CT46" s="266"/>
      <c r="CU46" s="266"/>
      <c r="CV46" s="266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3"/>
      <c r="CZ47" s="71">
        <v>9</v>
      </c>
    </row>
    <row r="48" spans="1:104" ht="12.75" customHeight="1" thickBot="1">
      <c r="A48" s="81"/>
      <c r="B48" s="223" t="s">
        <v>221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2"/>
      <c r="N48" s="264">
        <f>S48+X48+AC48+AH48</f>
        <v>3</v>
      </c>
      <c r="O48" s="264"/>
      <c r="P48" s="264"/>
      <c r="Q48" s="264"/>
      <c r="R48" s="252" t="s">
        <v>187</v>
      </c>
      <c r="S48" s="235">
        <f>FeatSheet!AK10</f>
        <v>2</v>
      </c>
      <c r="T48" s="235"/>
      <c r="U48" s="235"/>
      <c r="V48" s="235"/>
      <c r="W48" s="252" t="s">
        <v>188</v>
      </c>
      <c r="X48" s="276">
        <f>WISMOD</f>
        <v>1</v>
      </c>
      <c r="Y48" s="276"/>
      <c r="Z48" s="276"/>
      <c r="AA48" s="276"/>
      <c r="AB48" s="252" t="s">
        <v>188</v>
      </c>
      <c r="AC48" s="237">
        <v>0</v>
      </c>
      <c r="AD48" s="237"/>
      <c r="AE48" s="237"/>
      <c r="AF48" s="237"/>
      <c r="AG48" s="252" t="s">
        <v>188</v>
      </c>
      <c r="AH48" s="237"/>
      <c r="AI48" s="237"/>
      <c r="AJ48" s="237"/>
      <c r="AK48" s="237"/>
      <c r="AL48" s="233" t="s">
        <v>188</v>
      </c>
      <c r="AM48" s="277"/>
      <c r="AN48" s="277"/>
      <c r="AO48" s="277"/>
      <c r="AP48" s="277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10</v>
      </c>
      <c r="CE48" s="271"/>
      <c r="CF48" s="271"/>
      <c r="CG48" s="271"/>
      <c r="CH48" s="265" t="s">
        <v>187</v>
      </c>
      <c r="CI48" s="266">
        <f>FeatSheet!J12</f>
        <v>4</v>
      </c>
      <c r="CJ48" s="266"/>
      <c r="CK48" s="266"/>
      <c r="CL48" s="266"/>
      <c r="CM48" s="265" t="s">
        <v>188</v>
      </c>
      <c r="CN48" s="266">
        <f>ROUNDDOWN(FeatSheet!F12,0)</f>
        <v>4</v>
      </c>
      <c r="CO48" s="266"/>
      <c r="CP48" s="266"/>
      <c r="CQ48" s="266"/>
      <c r="CR48" s="265" t="s">
        <v>188</v>
      </c>
      <c r="CS48" s="266">
        <v>2</v>
      </c>
      <c r="CT48" s="266"/>
      <c r="CU48" s="266"/>
      <c r="CV48" s="266"/>
      <c r="CW48" s="151" t="s">
        <v>222</v>
      </c>
    </row>
    <row r="49" spans="1:104" ht="12.75" customHeight="1" thickBot="1">
      <c r="A49" s="81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2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3"/>
      <c r="CZ49" s="71">
        <v>10</v>
      </c>
    </row>
    <row r="50" spans="1:104" ht="13.5" customHeight="1" thickBot="1">
      <c r="A50" s="81"/>
      <c r="B50" s="230" t="s">
        <v>223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2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187</v>
      </c>
      <c r="CI50" s="266">
        <f>FeatSheet!J13</f>
        <v>0</v>
      </c>
      <c r="CJ50" s="266"/>
      <c r="CK50" s="266"/>
      <c r="CL50" s="266"/>
      <c r="CM50" s="265" t="s">
        <v>188</v>
      </c>
      <c r="CN50" s="266">
        <f>ROUNDDOWN(FeatSheet!F13,0)</f>
        <v>0</v>
      </c>
      <c r="CO50" s="266"/>
      <c r="CP50" s="266"/>
      <c r="CQ50" s="266"/>
      <c r="CR50" s="265" t="s">
        <v>188</v>
      </c>
      <c r="CS50" s="266"/>
      <c r="CT50" s="266"/>
      <c r="CU50" s="266"/>
      <c r="CV50" s="266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7</v>
      </c>
      <c r="CE52" s="271"/>
      <c r="CF52" s="271"/>
      <c r="CG52" s="271"/>
      <c r="CH52" s="265" t="s">
        <v>187</v>
      </c>
      <c r="CI52" s="266">
        <f>FeatSheet!J14</f>
        <v>4</v>
      </c>
      <c r="CJ52" s="266"/>
      <c r="CK52" s="266"/>
      <c r="CL52" s="266"/>
      <c r="CM52" s="265" t="s">
        <v>188</v>
      </c>
      <c r="CN52" s="266">
        <f>ROUNDDOWN(FeatSheet!F14,0)</f>
        <v>3</v>
      </c>
      <c r="CO52" s="266"/>
      <c r="CP52" s="266"/>
      <c r="CQ52" s="266"/>
      <c r="CR52" s="265" t="s">
        <v>188</v>
      </c>
      <c r="CS52" s="266"/>
      <c r="CT52" s="266"/>
      <c r="CU52" s="266"/>
      <c r="CV52" s="266"/>
      <c r="CW52" s="151" t="s">
        <v>224</v>
      </c>
    </row>
    <row r="53" spans="1:104" ht="12.75" customHeight="1" thickBo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81" t="s">
        <v>180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2"/>
      <c r="AA53" s="282" t="s">
        <v>225</v>
      </c>
      <c r="AB53" s="282"/>
      <c r="AC53" s="282"/>
      <c r="AD53" s="282"/>
      <c r="AE53" s="282"/>
      <c r="AF53" s="282"/>
      <c r="AG53" s="282"/>
      <c r="AH53" s="282"/>
      <c r="AI53" s="282"/>
      <c r="AJ53" s="82"/>
      <c r="AK53" s="282" t="s">
        <v>226</v>
      </c>
      <c r="AL53" s="282"/>
      <c r="AM53" s="282"/>
      <c r="AN53" s="282"/>
      <c r="AO53" s="82"/>
      <c r="AP53" s="282" t="s">
        <v>227</v>
      </c>
      <c r="AQ53" s="282"/>
      <c r="AR53" s="282"/>
      <c r="AS53" s="282"/>
      <c r="AT53" s="82"/>
      <c r="AU53" s="282" t="s">
        <v>195</v>
      </c>
      <c r="AV53" s="282"/>
      <c r="AW53" s="282"/>
      <c r="AX53" s="282"/>
      <c r="AY53" s="82"/>
      <c r="AZ53" s="283" t="s">
        <v>179</v>
      </c>
      <c r="BA53" s="283"/>
      <c r="BB53" s="283"/>
      <c r="BC53" s="283"/>
      <c r="BD53" s="82"/>
      <c r="BE53" s="82"/>
      <c r="BF53" s="82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3"/>
      <c r="CZ53" s="71">
        <v>12</v>
      </c>
    </row>
    <row r="54" spans="1:104" ht="13.5" customHeight="1" thickBo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2"/>
      <c r="AA54" s="282"/>
      <c r="AB54" s="282"/>
      <c r="AC54" s="282"/>
      <c r="AD54" s="282"/>
      <c r="AE54" s="282"/>
      <c r="AF54" s="282"/>
      <c r="AG54" s="282"/>
      <c r="AH54" s="282"/>
      <c r="AI54" s="282"/>
      <c r="AJ54" s="82"/>
      <c r="AK54" s="282"/>
      <c r="AL54" s="282"/>
      <c r="AM54" s="282"/>
      <c r="AN54" s="282"/>
      <c r="AO54" s="82"/>
      <c r="AP54" s="282"/>
      <c r="AQ54" s="282"/>
      <c r="AR54" s="282"/>
      <c r="AS54" s="282"/>
      <c r="AT54" s="82"/>
      <c r="AU54" s="282"/>
      <c r="AV54" s="282"/>
      <c r="AW54" s="282"/>
      <c r="AX54" s="282"/>
      <c r="AY54" s="82"/>
      <c r="AZ54" s="283"/>
      <c r="BA54" s="283"/>
      <c r="BB54" s="283"/>
      <c r="BC54" s="283"/>
      <c r="BD54" s="82"/>
      <c r="BE54" s="82"/>
      <c r="BF54" s="82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0</v>
      </c>
      <c r="CE54" s="271"/>
      <c r="CF54" s="271"/>
      <c r="CG54" s="271"/>
      <c r="CH54" s="265" t="s">
        <v>187</v>
      </c>
      <c r="CI54" s="266">
        <f>FeatSheet!J15</f>
        <v>0</v>
      </c>
      <c r="CJ54" s="266"/>
      <c r="CK54" s="266"/>
      <c r="CL54" s="266"/>
      <c r="CM54" s="265" t="s">
        <v>188</v>
      </c>
      <c r="CN54" s="266">
        <f>ROUNDDOWN(FeatSheet!F15,0)</f>
        <v>0</v>
      </c>
      <c r="CO54" s="266"/>
      <c r="CP54" s="266"/>
      <c r="CQ54" s="266"/>
      <c r="CR54" s="265" t="s">
        <v>188</v>
      </c>
      <c r="CS54" s="266"/>
      <c r="CT54" s="266"/>
      <c r="CU54" s="266"/>
      <c r="CV54" s="266"/>
      <c r="CW54" s="83"/>
    </row>
    <row r="55" spans="1:104" ht="12.75" customHeight="1" thickBot="1">
      <c r="A55" s="81"/>
      <c r="B55" s="223" t="s">
        <v>184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6"/>
      <c r="N55" s="279">
        <f>STRMOD</f>
        <v>0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187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188</v>
      </c>
      <c r="AK55" s="235"/>
      <c r="AL55" s="235"/>
      <c r="AM55" s="235"/>
      <c r="AN55" s="235"/>
      <c r="AO55" s="252" t="s">
        <v>188</v>
      </c>
      <c r="AP55" s="237"/>
      <c r="AQ55" s="237"/>
      <c r="AR55" s="237"/>
      <c r="AS55" s="237"/>
      <c r="AT55" s="252" t="s">
        <v>188</v>
      </c>
      <c r="AU55" s="237"/>
      <c r="AV55" s="237"/>
      <c r="AW55" s="237"/>
      <c r="AX55" s="237"/>
      <c r="AY55" s="280" t="s">
        <v>188</v>
      </c>
      <c r="AZ55" s="277"/>
      <c r="BA55" s="277"/>
      <c r="BB55" s="277"/>
      <c r="BC55" s="277"/>
      <c r="BD55" s="82"/>
      <c r="BE55" s="82"/>
      <c r="BF55" s="82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3"/>
      <c r="CZ55" s="71">
        <v>13</v>
      </c>
    </row>
    <row r="56" spans="1:104" ht="12.75" customHeight="1" thickBot="1">
      <c r="A56" s="81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6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2"/>
      <c r="BE56" s="82"/>
      <c r="BF56" s="82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2</v>
      </c>
      <c r="CE56" s="271"/>
      <c r="CF56" s="271"/>
      <c r="CG56" s="271"/>
      <c r="CH56" s="265" t="s">
        <v>187</v>
      </c>
      <c r="CI56" s="266">
        <f>FeatSheet!J16-ArCkPen</f>
        <v>0</v>
      </c>
      <c r="CJ56" s="266"/>
      <c r="CK56" s="266"/>
      <c r="CL56" s="266"/>
      <c r="CM56" s="265" t="s">
        <v>188</v>
      </c>
      <c r="CN56" s="266">
        <f>ROUNDDOWN(FeatSheet!F16,0)</f>
        <v>2</v>
      </c>
      <c r="CO56" s="266"/>
      <c r="CP56" s="266"/>
      <c r="CQ56" s="266"/>
      <c r="CR56" s="265" t="s">
        <v>188</v>
      </c>
      <c r="CS56" s="266"/>
      <c r="CT56" s="266"/>
      <c r="CU56" s="266"/>
      <c r="CV56" s="266"/>
      <c r="CW56" s="83"/>
    </row>
    <row r="57" spans="1:104" ht="13.5" customHeight="1" thickBot="1">
      <c r="A57" s="81"/>
      <c r="B57" s="230" t="s">
        <v>228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7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2"/>
      <c r="BE57" s="82"/>
      <c r="BF57" s="82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3"/>
      <c r="CZ57" s="71">
        <v>14</v>
      </c>
    </row>
    <row r="58" spans="1:104" ht="13.5" customHeight="1" thickBo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>
        <f>IF(AND(FeatSheet!G17=1,FeatSheet!D17=0)=TRUE,"",(CI58+CN58+CS58))</f>
        <v>7</v>
      </c>
      <c r="CE58" s="271"/>
      <c r="CF58" s="271"/>
      <c r="CG58" s="271"/>
      <c r="CH58" s="265" t="s">
        <v>187</v>
      </c>
      <c r="CI58" s="266">
        <f>FeatSheet!J17</f>
        <v>4</v>
      </c>
      <c r="CJ58" s="266"/>
      <c r="CK58" s="266"/>
      <c r="CL58" s="266"/>
      <c r="CM58" s="265" t="s">
        <v>188</v>
      </c>
      <c r="CN58" s="266">
        <f>ROUNDDOWN(FeatSheet!F17,0)</f>
        <v>3</v>
      </c>
      <c r="CO58" s="266"/>
      <c r="CP58" s="266"/>
      <c r="CQ58" s="266"/>
      <c r="CR58" s="265" t="s">
        <v>188</v>
      </c>
      <c r="CS58" s="266"/>
      <c r="CT58" s="266"/>
      <c r="CU58" s="266"/>
      <c r="CV58" s="266"/>
      <c r="CW58" s="83"/>
    </row>
    <row r="59" spans="1:104" ht="12.75" customHeight="1" thickBot="1">
      <c r="A59" s="81"/>
      <c r="B59" s="223" t="s">
        <v>190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6"/>
      <c r="N59" s="279">
        <f>DEXMOD</f>
        <v>0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187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188</v>
      </c>
      <c r="AK59" s="235"/>
      <c r="AL59" s="235"/>
      <c r="AM59" s="235"/>
      <c r="AN59" s="235"/>
      <c r="AO59" s="252" t="s">
        <v>188</v>
      </c>
      <c r="AP59" s="237"/>
      <c r="AQ59" s="237"/>
      <c r="AR59" s="237"/>
      <c r="AS59" s="237"/>
      <c r="AT59" s="252" t="s">
        <v>188</v>
      </c>
      <c r="AU59" s="237"/>
      <c r="AV59" s="237"/>
      <c r="AW59" s="237"/>
      <c r="AX59" s="237"/>
      <c r="AY59" s="280" t="s">
        <v>188</v>
      </c>
      <c r="AZ59" s="277"/>
      <c r="BA59" s="277"/>
      <c r="BB59" s="277"/>
      <c r="BC59" s="277"/>
      <c r="BD59" s="82"/>
      <c r="BE59" s="82"/>
      <c r="BF59" s="82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3"/>
      <c r="CZ59" s="71">
        <v>15</v>
      </c>
    </row>
    <row r="60" spans="1:104" ht="12.75" customHeight="1" thickBot="1">
      <c r="A60" s="81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6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2"/>
      <c r="BE60" s="82"/>
      <c r="BF60" s="82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1</v>
      </c>
      <c r="CE60" s="271"/>
      <c r="CF60" s="271"/>
      <c r="CG60" s="271"/>
      <c r="CH60" s="265" t="s">
        <v>187</v>
      </c>
      <c r="CI60" s="266">
        <f>FeatSheet!J18</f>
        <v>1</v>
      </c>
      <c r="CJ60" s="266"/>
      <c r="CK60" s="266"/>
      <c r="CL60" s="266"/>
      <c r="CM60" s="265" t="s">
        <v>188</v>
      </c>
      <c r="CN60" s="266">
        <f>ROUNDDOWN(FeatSheet!F18,0)</f>
        <v>0</v>
      </c>
      <c r="CO60" s="266"/>
      <c r="CP60" s="266"/>
      <c r="CQ60" s="266"/>
      <c r="CR60" s="265" t="s">
        <v>188</v>
      </c>
      <c r="CS60" s="266"/>
      <c r="CT60" s="266"/>
      <c r="CU60" s="266"/>
      <c r="CV60" s="266"/>
      <c r="CW60" s="83"/>
    </row>
    <row r="61" spans="1:104" ht="13.5" customHeight="1" thickBot="1">
      <c r="A61" s="81"/>
      <c r="B61" s="230" t="s">
        <v>228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7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2"/>
      <c r="BE61" s="82"/>
      <c r="BF61" s="82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3"/>
      <c r="CZ61" s="71">
        <v>16</v>
      </c>
    </row>
    <row r="62" spans="1:104" ht="12.75" customHeight="1" thickBo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86" t="s">
        <v>180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8"/>
      <c r="AA62" s="262" t="s">
        <v>225</v>
      </c>
      <c r="AB62" s="262"/>
      <c r="AC62" s="262"/>
      <c r="AD62" s="262"/>
      <c r="AE62" s="262"/>
      <c r="AF62" s="262"/>
      <c r="AG62" s="262"/>
      <c r="AH62" s="262"/>
      <c r="AI62" s="262"/>
      <c r="AJ62" s="98"/>
      <c r="AK62" s="262" t="s">
        <v>193</v>
      </c>
      <c r="AL62" s="262"/>
      <c r="AM62" s="262"/>
      <c r="AN62" s="262"/>
      <c r="AO62" s="98"/>
      <c r="AP62" s="262" t="s">
        <v>227</v>
      </c>
      <c r="AQ62" s="262"/>
      <c r="AR62" s="262"/>
      <c r="AS62" s="262"/>
      <c r="AT62" s="98"/>
      <c r="AU62" s="262" t="s">
        <v>195</v>
      </c>
      <c r="AV62" s="262"/>
      <c r="AW62" s="262"/>
      <c r="AX62" s="262"/>
      <c r="AY62" s="98"/>
      <c r="AZ62" s="287" t="s">
        <v>179</v>
      </c>
      <c r="BA62" s="287"/>
      <c r="BB62" s="287"/>
      <c r="BC62" s="287"/>
      <c r="BD62" s="82"/>
      <c r="BE62" s="82"/>
      <c r="BF62" s="82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187</v>
      </c>
      <c r="CI62" s="266">
        <f>FeatSheet!J19</f>
        <v>0</v>
      </c>
      <c r="CJ62" s="266"/>
      <c r="CK62" s="266"/>
      <c r="CL62" s="266"/>
      <c r="CM62" s="265" t="s">
        <v>188</v>
      </c>
      <c r="CN62" s="266">
        <f>ROUNDDOWN(FeatSheet!F19,0)</f>
        <v>0</v>
      </c>
      <c r="CO62" s="266"/>
      <c r="CP62" s="266"/>
      <c r="CQ62" s="266"/>
      <c r="CR62" s="265" t="s">
        <v>188</v>
      </c>
      <c r="CS62" s="266"/>
      <c r="CT62" s="266"/>
      <c r="CU62" s="266"/>
      <c r="CV62" s="266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8"/>
      <c r="AA63" s="262"/>
      <c r="AB63" s="262"/>
      <c r="AC63" s="262"/>
      <c r="AD63" s="262"/>
      <c r="AE63" s="262"/>
      <c r="AF63" s="262"/>
      <c r="AG63" s="262"/>
      <c r="AH63" s="262"/>
      <c r="AI63" s="262"/>
      <c r="AJ63" s="98"/>
      <c r="AK63" s="262"/>
      <c r="AL63" s="262"/>
      <c r="AM63" s="262"/>
      <c r="AN63" s="262"/>
      <c r="AO63" s="98"/>
      <c r="AP63" s="262"/>
      <c r="AQ63" s="262"/>
      <c r="AR63" s="262"/>
      <c r="AS63" s="262"/>
      <c r="AT63" s="98"/>
      <c r="AU63" s="262"/>
      <c r="AV63" s="262"/>
      <c r="AW63" s="262"/>
      <c r="AX63" s="262"/>
      <c r="AY63" s="98"/>
      <c r="AZ63" s="287"/>
      <c r="BA63" s="287"/>
      <c r="BB63" s="287"/>
      <c r="BC63" s="287"/>
      <c r="BD63" s="82"/>
      <c r="BE63" s="82"/>
      <c r="BF63" s="82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187</v>
      </c>
      <c r="CI64" s="266">
        <f>FeatSheet!J20</f>
        <v>0</v>
      </c>
      <c r="CJ64" s="266"/>
      <c r="CK64" s="266"/>
      <c r="CL64" s="266"/>
      <c r="CM64" s="265" t="s">
        <v>188</v>
      </c>
      <c r="CN64" s="266">
        <f>ROUNDDOWN(FeatSheet!F20,0)</f>
        <v>0</v>
      </c>
      <c r="CO64" s="266"/>
      <c r="CP64" s="266"/>
      <c r="CQ64" s="266"/>
      <c r="CR64" s="265" t="s">
        <v>188</v>
      </c>
      <c r="CS64" s="266"/>
      <c r="CT64" s="266"/>
      <c r="CU64" s="266"/>
      <c r="CV64" s="266"/>
      <c r="CW64" s="83"/>
    </row>
    <row r="65" spans="1:104" ht="12.75" customHeight="1" thickBo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3"/>
      <c r="CZ65" s="71">
        <v>18</v>
      </c>
    </row>
    <row r="66" spans="1:104" ht="12.75" customHeight="1" thickBot="1">
      <c r="A66" s="81"/>
      <c r="B66" s="290" t="s">
        <v>229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187</v>
      </c>
      <c r="CI66" s="266">
        <f>FeatSheet!J21</f>
        <v>0</v>
      </c>
      <c r="CJ66" s="266"/>
      <c r="CK66" s="266"/>
      <c r="CL66" s="266"/>
      <c r="CM66" s="265" t="s">
        <v>188</v>
      </c>
      <c r="CN66" s="266">
        <f>ROUNDDOWN(FeatSheet!F21,0)</f>
        <v>0</v>
      </c>
      <c r="CO66" s="266"/>
      <c r="CP66" s="266"/>
      <c r="CQ66" s="266"/>
      <c r="CR66" s="265" t="s">
        <v>188</v>
      </c>
      <c r="CS66" s="266"/>
      <c r="CT66" s="266"/>
      <c r="CU66" s="266"/>
      <c r="CV66" s="266"/>
      <c r="CW66" s="83"/>
    </row>
    <row r="67" spans="1:104" ht="13.5" customHeight="1" thickBot="1">
      <c r="A67" s="81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230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231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232</v>
      </c>
      <c r="AV67" s="293"/>
      <c r="AW67" s="293"/>
      <c r="AX67" s="293"/>
      <c r="AY67" s="293"/>
      <c r="AZ67" s="293"/>
      <c r="BA67" s="293"/>
      <c r="BB67" s="293"/>
      <c r="BC67" s="293"/>
      <c r="BD67" s="82"/>
      <c r="BE67" s="82"/>
      <c r="BF67" s="82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3"/>
      <c r="CZ67" s="71">
        <v>19</v>
      </c>
    </row>
    <row r="68" spans="1:104" ht="12.75" customHeight="1" thickBot="1">
      <c r="A68" s="81"/>
      <c r="B68" s="288" t="s">
        <v>233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6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234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2"/>
      <c r="BE68" s="82"/>
      <c r="BF68" s="82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187</v>
      </c>
      <c r="CI68" s="266">
        <f>FeatSheet!J22</f>
        <v>0</v>
      </c>
      <c r="CJ68" s="266"/>
      <c r="CK68" s="266"/>
      <c r="CL68" s="266"/>
      <c r="CM68" s="265" t="s">
        <v>188</v>
      </c>
      <c r="CN68" s="266">
        <f>ROUNDDOWN(FeatSheet!F22,0)</f>
        <v>0</v>
      </c>
      <c r="CO68" s="266"/>
      <c r="CP68" s="266"/>
      <c r="CQ68" s="266"/>
      <c r="CR68" s="265" t="s">
        <v>188</v>
      </c>
      <c r="CS68" s="266"/>
      <c r="CT68" s="266"/>
      <c r="CU68" s="266"/>
      <c r="CV68" s="266"/>
      <c r="CW68" s="83"/>
    </row>
    <row r="69" spans="1:104" ht="12.75" customHeight="1" thickBot="1">
      <c r="A69" s="81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2"/>
      <c r="BE69" s="82"/>
      <c r="BF69" s="82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3"/>
      <c r="CZ69" s="71">
        <v>20</v>
      </c>
    </row>
    <row r="70" spans="1:104" ht="13.5" customHeight="1" thickBot="1">
      <c r="A70" s="81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2"/>
      <c r="BE70" s="82"/>
      <c r="BF70" s="82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5</v>
      </c>
      <c r="CE70" s="271"/>
      <c r="CF70" s="271"/>
      <c r="CG70" s="271"/>
      <c r="CH70" s="265" t="s">
        <v>187</v>
      </c>
      <c r="CI70" s="266">
        <f>FeatSheet!J23</f>
        <v>1</v>
      </c>
      <c r="CJ70" s="266"/>
      <c r="CK70" s="266"/>
      <c r="CL70" s="266"/>
      <c r="CM70" s="265" t="s">
        <v>188</v>
      </c>
      <c r="CN70" s="266">
        <f>ROUNDDOWN(FeatSheet!F23,0)</f>
        <v>4</v>
      </c>
      <c r="CO70" s="266"/>
      <c r="CP70" s="266"/>
      <c r="CQ70" s="266"/>
      <c r="CR70" s="265" t="s">
        <v>188</v>
      </c>
      <c r="CS70" s="266"/>
      <c r="CT70" s="266"/>
      <c r="CU70" s="266"/>
      <c r="CV70" s="266"/>
      <c r="CW70" s="83"/>
    </row>
    <row r="71" spans="1:104" ht="13.5" customHeight="1" thickBot="1">
      <c r="A71" s="81"/>
      <c r="B71" s="284" t="s">
        <v>235</v>
      </c>
      <c r="C71" s="284"/>
      <c r="D71" s="284"/>
      <c r="E71" s="284"/>
      <c r="F71" s="284"/>
      <c r="G71" s="285" t="s">
        <v>236</v>
      </c>
      <c r="H71" s="285"/>
      <c r="I71" s="285"/>
      <c r="J71" s="285"/>
      <c r="K71" s="285"/>
      <c r="L71" s="285" t="s">
        <v>237</v>
      </c>
      <c r="M71" s="285"/>
      <c r="N71" s="285"/>
      <c r="O71" s="285"/>
      <c r="P71" s="285"/>
      <c r="Q71" s="285"/>
      <c r="R71" s="285"/>
      <c r="S71" s="285"/>
      <c r="T71" s="285"/>
      <c r="U71" s="285" t="s">
        <v>167</v>
      </c>
      <c r="V71" s="285"/>
      <c r="W71" s="285"/>
      <c r="X71" s="285"/>
      <c r="Y71" s="285"/>
      <c r="Z71" s="285"/>
      <c r="AA71" s="291" t="s">
        <v>238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2"/>
      <c r="BE71" s="82"/>
      <c r="BF71" s="82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3"/>
      <c r="CZ71" s="71">
        <v>21</v>
      </c>
    </row>
    <row r="72" spans="1:104" ht="12.75" customHeight="1" thickBot="1">
      <c r="A72" s="81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2"/>
      <c r="BE72" s="82"/>
      <c r="BF72" s="82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4</v>
      </c>
      <c r="CE72" s="271"/>
      <c r="CF72" s="271"/>
      <c r="CG72" s="271"/>
      <c r="CH72" s="265" t="s">
        <v>187</v>
      </c>
      <c r="CI72" s="266">
        <f>FeatSheet!J24</f>
        <v>4</v>
      </c>
      <c r="CJ72" s="266"/>
      <c r="CK72" s="266"/>
      <c r="CL72" s="266"/>
      <c r="CM72" s="265" t="s">
        <v>188</v>
      </c>
      <c r="CN72" s="266">
        <f>ROUNDDOWN(FeatSheet!F24,0)</f>
        <v>0</v>
      </c>
      <c r="CO72" s="266"/>
      <c r="CP72" s="266"/>
      <c r="CQ72" s="266"/>
      <c r="CR72" s="265" t="s">
        <v>188</v>
      </c>
      <c r="CS72" s="266"/>
      <c r="CT72" s="266"/>
      <c r="CU72" s="266"/>
      <c r="CV72" s="266"/>
      <c r="CW72" s="83"/>
    </row>
    <row r="73" spans="1:104" ht="12.75" customHeight="1" thickBot="1">
      <c r="A73" s="81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2"/>
      <c r="BE73" s="82"/>
      <c r="BF73" s="82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3"/>
      <c r="CZ73" s="71">
        <v>22</v>
      </c>
    </row>
    <row r="74" spans="1:104" ht="13.5" customHeight="1" thickBot="1">
      <c r="A74" s="81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2"/>
      <c r="BE74" s="82"/>
      <c r="BF74" s="82"/>
      <c r="BG74" s="267"/>
      <c r="BH74" s="267"/>
      <c r="BI74" s="268" t="str">
        <f>FeatSheet!C25</f>
        <v>Profession (Cook/Domestic/StableHand)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187</v>
      </c>
      <c r="CI74" s="266">
        <f>FeatSheet!J25</f>
        <v>1</v>
      </c>
      <c r="CJ74" s="266"/>
      <c r="CK74" s="266"/>
      <c r="CL74" s="266"/>
      <c r="CM74" s="265" t="s">
        <v>188</v>
      </c>
      <c r="CN74" s="266">
        <f>ROUNDDOWN(FeatSheet!F25,0)</f>
        <v>0</v>
      </c>
      <c r="CO74" s="266"/>
      <c r="CP74" s="266"/>
      <c r="CQ74" s="266"/>
      <c r="CR74" s="265" t="s">
        <v>188</v>
      </c>
      <c r="CS74" s="266"/>
      <c r="CT74" s="266"/>
      <c r="CU74" s="266"/>
      <c r="CV74" s="266"/>
      <c r="CW74" s="83"/>
    </row>
    <row r="75" spans="1:104" ht="12.75" customHeight="1" thickBo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3"/>
      <c r="CZ75" s="71">
        <v>23</v>
      </c>
    </row>
    <row r="76" spans="1:104" ht="12.75" customHeight="1" thickBot="1">
      <c r="A76" s="81"/>
      <c r="B76" s="290" t="s">
        <v>229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67"/>
      <c r="BH76" s="267"/>
      <c r="BI76" s="268" t="str">
        <f>FeatSheet!C26</f>
        <v>Profession (Politics/Spy/LIar)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187</v>
      </c>
      <c r="CI76" s="266">
        <f>FeatSheet!J26</f>
        <v>1</v>
      </c>
      <c r="CJ76" s="266"/>
      <c r="CK76" s="266"/>
      <c r="CL76" s="266"/>
      <c r="CM76" s="265" t="s">
        <v>188</v>
      </c>
      <c r="CN76" s="266">
        <f>ROUNDDOWN(FeatSheet!F26,0)</f>
        <v>0</v>
      </c>
      <c r="CO76" s="266"/>
      <c r="CP76" s="266"/>
      <c r="CQ76" s="266"/>
      <c r="CR76" s="265" t="s">
        <v>188</v>
      </c>
      <c r="CS76" s="297"/>
      <c r="CT76" s="297"/>
      <c r="CU76" s="297"/>
      <c r="CV76" s="297"/>
      <c r="CW76" s="83"/>
    </row>
    <row r="77" spans="1:104" ht="13.5" customHeight="1" thickBot="1">
      <c r="A77" s="81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230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231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232</v>
      </c>
      <c r="AV77" s="293"/>
      <c r="AW77" s="293"/>
      <c r="AX77" s="293"/>
      <c r="AY77" s="293"/>
      <c r="AZ77" s="293"/>
      <c r="BA77" s="293"/>
      <c r="BB77" s="293"/>
      <c r="BC77" s="293"/>
      <c r="BD77" s="82"/>
      <c r="BE77" s="82"/>
      <c r="BF77" s="82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3"/>
      <c r="CZ77" s="71">
        <v>24</v>
      </c>
    </row>
    <row r="78" spans="1:104" ht="12.75" customHeight="1" thickBot="1">
      <c r="A78" s="81"/>
      <c r="B78" s="298"/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6</v>
      </c>
      <c r="T78" s="289"/>
      <c r="U78" s="289"/>
      <c r="V78" s="296">
        <f>BAB_2+STRMOD</f>
        <v>6</v>
      </c>
      <c r="W78" s="296"/>
      <c r="X78" s="296"/>
      <c r="Y78" s="289">
        <f>BAB_3+STRMOD</f>
        <v>0</v>
      </c>
      <c r="Z78" s="289"/>
      <c r="AA78" s="289"/>
      <c r="AB78" s="289"/>
      <c r="AC78" s="289"/>
      <c r="AD78" s="289"/>
      <c r="AE78" s="289"/>
      <c r="AF78" s="289"/>
      <c r="AG78" s="289"/>
      <c r="AH78" s="292"/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2"/>
      <c r="BE78" s="82"/>
      <c r="BF78" s="82"/>
      <c r="BG78" s="267"/>
      <c r="BH78" s="267"/>
      <c r="BI78" s="268" t="str">
        <f>FeatSheet!C27</f>
        <v>Profession ( Mercenary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187</v>
      </c>
      <c r="CI78" s="266">
        <f>FeatSheet!J27</f>
        <v>1</v>
      </c>
      <c r="CJ78" s="266"/>
      <c r="CK78" s="266"/>
      <c r="CL78" s="266"/>
      <c r="CM78" s="265" t="s">
        <v>188</v>
      </c>
      <c r="CN78" s="266">
        <f>ROUNDDOWN(FeatSheet!F27,0)</f>
        <v>0</v>
      </c>
      <c r="CO78" s="266"/>
      <c r="CP78" s="266"/>
      <c r="CQ78" s="266"/>
      <c r="CR78" s="265" t="s">
        <v>188</v>
      </c>
      <c r="CS78" s="266"/>
      <c r="CT78" s="266"/>
      <c r="CU78" s="266"/>
      <c r="CV78" s="266"/>
      <c r="CW78" s="83"/>
    </row>
    <row r="79" spans="1:104" ht="12.75" customHeight="1" thickBot="1">
      <c r="A79" s="81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2"/>
      <c r="BE79" s="82"/>
      <c r="BF79" s="82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3"/>
      <c r="CZ79" s="71">
        <v>25</v>
      </c>
    </row>
    <row r="80" spans="1:104" ht="13.5" customHeight="1" thickBot="1">
      <c r="A80" s="81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2"/>
      <c r="BE80" s="82"/>
      <c r="BF80" s="82"/>
      <c r="BG80" s="267"/>
      <c r="BH80" s="267"/>
      <c r="BI80" s="268" t="str">
        <f>FeatSheet!C28</f>
        <v>Profession ( Pirate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187</v>
      </c>
      <c r="CI80" s="266">
        <f>FeatSheet!J28</f>
        <v>1</v>
      </c>
      <c r="CJ80" s="266"/>
      <c r="CK80" s="266"/>
      <c r="CL80" s="266"/>
      <c r="CM80" s="265" t="s">
        <v>188</v>
      </c>
      <c r="CN80" s="266">
        <f>ROUNDDOWN(FeatSheet!F28,0)</f>
        <v>0</v>
      </c>
      <c r="CO80" s="266"/>
      <c r="CP80" s="266"/>
      <c r="CQ80" s="266"/>
      <c r="CR80" s="265" t="s">
        <v>188</v>
      </c>
      <c r="CS80" s="297"/>
      <c r="CT80" s="297"/>
      <c r="CU80" s="297"/>
      <c r="CV80" s="297"/>
      <c r="CW80" s="83"/>
    </row>
    <row r="81" spans="1:104" ht="13.5" customHeight="1" thickBot="1">
      <c r="A81" s="81"/>
      <c r="B81" s="284" t="s">
        <v>235</v>
      </c>
      <c r="C81" s="284"/>
      <c r="D81" s="284"/>
      <c r="E81" s="284"/>
      <c r="F81" s="284"/>
      <c r="G81" s="285" t="s">
        <v>236</v>
      </c>
      <c r="H81" s="285"/>
      <c r="I81" s="285"/>
      <c r="J81" s="285"/>
      <c r="K81" s="285"/>
      <c r="L81" s="285" t="s">
        <v>237</v>
      </c>
      <c r="M81" s="285"/>
      <c r="N81" s="285"/>
      <c r="O81" s="285"/>
      <c r="P81" s="285"/>
      <c r="Q81" s="285"/>
      <c r="R81" s="285"/>
      <c r="S81" s="285"/>
      <c r="T81" s="285"/>
      <c r="U81" s="285" t="s">
        <v>167</v>
      </c>
      <c r="V81" s="285"/>
      <c r="W81" s="285"/>
      <c r="X81" s="285"/>
      <c r="Y81" s="285"/>
      <c r="Z81" s="285"/>
      <c r="AA81" s="291" t="s">
        <v>238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2"/>
      <c r="BE81" s="82"/>
      <c r="BF81" s="82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3"/>
      <c r="CZ81" s="71">
        <v>26</v>
      </c>
    </row>
    <row r="82" spans="1:104" ht="12.75" customHeight="1" thickBot="1">
      <c r="A82" s="81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2"/>
      <c r="BE82" s="82"/>
      <c r="BF82" s="82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187</v>
      </c>
      <c r="CI82" s="266">
        <f>FeatSheet!J29</f>
        <v>0</v>
      </c>
      <c r="CJ82" s="266"/>
      <c r="CK82" s="266"/>
      <c r="CL82" s="266"/>
      <c r="CM82" s="265" t="s">
        <v>188</v>
      </c>
      <c r="CN82" s="266">
        <f>ROUNDDOWN(FeatSheet!F29,0)</f>
        <v>0</v>
      </c>
      <c r="CO82" s="266"/>
      <c r="CP82" s="266"/>
      <c r="CQ82" s="266"/>
      <c r="CR82" s="265" t="s">
        <v>188</v>
      </c>
      <c r="CS82" s="297"/>
      <c r="CT82" s="297"/>
      <c r="CU82" s="297"/>
      <c r="CV82" s="297"/>
      <c r="CW82" s="83"/>
    </row>
    <row r="83" spans="1:104" ht="12.75" customHeight="1" thickBot="1">
      <c r="A83" s="81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2"/>
      <c r="BE83" s="82"/>
      <c r="BF83" s="82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3"/>
      <c r="CZ83" s="71">
        <v>27</v>
      </c>
    </row>
    <row r="84" spans="1:104" ht="13.5" customHeight="1" thickBot="1">
      <c r="A84" s="81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2"/>
      <c r="BE84" s="82"/>
      <c r="BF84" s="82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2</v>
      </c>
      <c r="CE84" s="271"/>
      <c r="CF84" s="271"/>
      <c r="CG84" s="271"/>
      <c r="CH84" s="265" t="s">
        <v>187</v>
      </c>
      <c r="CI84" s="266">
        <f>FeatSheet!J30</f>
        <v>0</v>
      </c>
      <c r="CJ84" s="266"/>
      <c r="CK84" s="266"/>
      <c r="CL84" s="266"/>
      <c r="CM84" s="265" t="s">
        <v>188</v>
      </c>
      <c r="CN84" s="266">
        <f>ROUNDDOWN(FeatSheet!F30,0)</f>
        <v>2</v>
      </c>
      <c r="CO84" s="266"/>
      <c r="CP84" s="266"/>
      <c r="CQ84" s="266"/>
      <c r="CR84" s="265" t="s">
        <v>188</v>
      </c>
      <c r="CS84" s="297"/>
      <c r="CT84" s="297"/>
      <c r="CU84" s="297"/>
      <c r="CV84" s="297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3"/>
      <c r="CZ85" s="71">
        <v>28</v>
      </c>
    </row>
    <row r="86" spans="1:104" ht="12.75" customHeight="1" thickBot="1">
      <c r="A86" s="81"/>
      <c r="B86" s="290" t="s">
        <v>229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4</v>
      </c>
      <c r="CE86" s="271"/>
      <c r="CF86" s="271"/>
      <c r="CG86" s="271"/>
      <c r="CH86" s="265" t="s">
        <v>187</v>
      </c>
      <c r="CI86" s="266">
        <f>FeatSheet!J31</f>
        <v>0</v>
      </c>
      <c r="CJ86" s="266"/>
      <c r="CK86" s="266"/>
      <c r="CL86" s="266"/>
      <c r="CM86" s="265" t="s">
        <v>188</v>
      </c>
      <c r="CN86" s="266">
        <f>ROUNDDOWN(FeatSheet!F31,0)</f>
        <v>4</v>
      </c>
      <c r="CO86" s="266"/>
      <c r="CP86" s="266"/>
      <c r="CQ86" s="266"/>
      <c r="CR86" s="265" t="s">
        <v>188</v>
      </c>
      <c r="CS86" s="297"/>
      <c r="CT86" s="297"/>
      <c r="CU86" s="297"/>
      <c r="CV86" s="297"/>
      <c r="CW86" s="83"/>
    </row>
    <row r="87" spans="1:104" ht="13.5" customHeight="1" thickBot="1">
      <c r="A87" s="81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230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231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232</v>
      </c>
      <c r="AV87" s="293"/>
      <c r="AW87" s="293"/>
      <c r="AX87" s="293"/>
      <c r="AY87" s="293"/>
      <c r="AZ87" s="293"/>
      <c r="BA87" s="293"/>
      <c r="BB87" s="293"/>
      <c r="BC87" s="293"/>
      <c r="BD87" s="82"/>
      <c r="BE87" s="82"/>
      <c r="BF87" s="82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3"/>
      <c r="CZ87" s="71">
        <v>29</v>
      </c>
    </row>
    <row r="88" spans="1:104" ht="12.75" customHeight="1" thickBot="1">
      <c r="A88" s="81"/>
      <c r="B88" s="298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6</v>
      </c>
      <c r="T88" s="289"/>
      <c r="U88" s="289"/>
      <c r="V88" s="289">
        <f>BAB_2+STRMOD</f>
        <v>6</v>
      </c>
      <c r="W88" s="289"/>
      <c r="X88" s="289"/>
      <c r="Y88" s="289">
        <f>BAB_3+STRMOD</f>
        <v>0</v>
      </c>
      <c r="Z88" s="289"/>
      <c r="AA88" s="289"/>
      <c r="AB88" s="289"/>
      <c r="AC88" s="289"/>
      <c r="AD88" s="289"/>
      <c r="AE88" s="289"/>
      <c r="AF88" s="289"/>
      <c r="AG88" s="289"/>
      <c r="AH88" s="292"/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2"/>
      <c r="BE88" s="82"/>
      <c r="BF88" s="82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5</v>
      </c>
      <c r="CE88" s="271"/>
      <c r="CF88" s="271"/>
      <c r="CG88" s="271"/>
      <c r="CH88" s="265" t="s">
        <v>187</v>
      </c>
      <c r="CI88" s="266">
        <f>FeatSheet!J32</f>
        <v>1</v>
      </c>
      <c r="CJ88" s="266"/>
      <c r="CK88" s="266"/>
      <c r="CL88" s="266"/>
      <c r="CM88" s="265" t="s">
        <v>188</v>
      </c>
      <c r="CN88" s="266">
        <f>ROUNDDOWN(FeatSheet!F32,0)</f>
        <v>4</v>
      </c>
      <c r="CO88" s="266"/>
      <c r="CP88" s="266"/>
      <c r="CQ88" s="266"/>
      <c r="CR88" s="265" t="s">
        <v>188</v>
      </c>
      <c r="CS88" s="297"/>
      <c r="CT88" s="297"/>
      <c r="CU88" s="297"/>
      <c r="CV88" s="297"/>
      <c r="CW88" s="83"/>
    </row>
    <row r="89" spans="1:104" ht="12.75" customHeight="1" thickBot="1">
      <c r="A89" s="81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2"/>
      <c r="BE89" s="82"/>
      <c r="BF89" s="82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3"/>
      <c r="CZ89" s="71">
        <v>30</v>
      </c>
    </row>
    <row r="90" spans="1:104" ht="13.5" customHeight="1" thickBot="1">
      <c r="A90" s="81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2"/>
      <c r="BE90" s="82"/>
      <c r="BF90" s="82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187</v>
      </c>
      <c r="CI90" s="266">
        <f>FeatSheet!J33</f>
        <v>0</v>
      </c>
      <c r="CJ90" s="266"/>
      <c r="CK90" s="266"/>
      <c r="CL90" s="266"/>
      <c r="CM90" s="265" t="s">
        <v>188</v>
      </c>
      <c r="CN90" s="266">
        <f>ROUNDDOWN(FeatSheet!F33,0)</f>
        <v>0</v>
      </c>
      <c r="CO90" s="266"/>
      <c r="CP90" s="266"/>
      <c r="CQ90" s="266"/>
      <c r="CR90" s="265" t="s">
        <v>188</v>
      </c>
      <c r="CS90" s="266"/>
      <c r="CT90" s="266"/>
      <c r="CU90" s="266"/>
      <c r="CV90" s="266"/>
      <c r="CW90" s="83"/>
    </row>
    <row r="91" spans="1:104" ht="13.5" customHeight="1" thickBot="1">
      <c r="A91" s="81"/>
      <c r="B91" s="284" t="s">
        <v>235</v>
      </c>
      <c r="C91" s="284"/>
      <c r="D91" s="284"/>
      <c r="E91" s="284"/>
      <c r="F91" s="284"/>
      <c r="G91" s="285" t="s">
        <v>236</v>
      </c>
      <c r="H91" s="285"/>
      <c r="I91" s="285"/>
      <c r="J91" s="285"/>
      <c r="K91" s="285"/>
      <c r="L91" s="285" t="s">
        <v>237</v>
      </c>
      <c r="M91" s="285"/>
      <c r="N91" s="285"/>
      <c r="O91" s="285"/>
      <c r="P91" s="285"/>
      <c r="Q91" s="285"/>
      <c r="R91" s="285"/>
      <c r="S91" s="285"/>
      <c r="T91" s="285"/>
      <c r="U91" s="285" t="s">
        <v>167</v>
      </c>
      <c r="V91" s="285"/>
      <c r="W91" s="285"/>
      <c r="X91" s="285"/>
      <c r="Y91" s="285"/>
      <c r="Z91" s="285"/>
      <c r="AA91" s="291" t="s">
        <v>238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2"/>
      <c r="BE91" s="82"/>
      <c r="BF91" s="82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3"/>
      <c r="CZ91" s="71">
        <v>31</v>
      </c>
    </row>
    <row r="92" spans="1:104" ht="12.75" customHeight="1" thickBot="1">
      <c r="A92" s="81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2"/>
      <c r="BE92" s="82"/>
      <c r="BF92" s="82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187</v>
      </c>
      <c r="CI92" s="266">
        <f>FeatSheet!J34-ArCkPen</f>
        <v>0</v>
      </c>
      <c r="CJ92" s="266"/>
      <c r="CK92" s="266"/>
      <c r="CL92" s="266"/>
      <c r="CM92" s="265" t="s">
        <v>188</v>
      </c>
      <c r="CN92" s="266">
        <f>ROUNDDOWN(FeatSheet!F34,0)</f>
        <v>0</v>
      </c>
      <c r="CO92" s="266"/>
      <c r="CP92" s="266"/>
      <c r="CQ92" s="266"/>
      <c r="CR92" s="265" t="s">
        <v>188</v>
      </c>
      <c r="CS92" s="297"/>
      <c r="CT92" s="297"/>
      <c r="CU92" s="297"/>
      <c r="CV92" s="297"/>
      <c r="CW92" s="83"/>
    </row>
    <row r="93" spans="1:104" ht="12.75" customHeight="1" thickBot="1">
      <c r="A93" s="81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2"/>
      <c r="BE93" s="82"/>
      <c r="BF93" s="82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3"/>
      <c r="CZ93" s="71">
        <v>32</v>
      </c>
    </row>
    <row r="94" spans="1:104" ht="13.5" customHeight="1" thickBot="1">
      <c r="A94" s="81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2"/>
      <c r="BE94" s="82"/>
      <c r="BF94" s="82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4</v>
      </c>
      <c r="CE94" s="271"/>
      <c r="CF94" s="271"/>
      <c r="CG94" s="271"/>
      <c r="CH94" s="265" t="s">
        <v>187</v>
      </c>
      <c r="CI94" s="266">
        <f>FeatSheet!J35</f>
        <v>0</v>
      </c>
      <c r="CJ94" s="266"/>
      <c r="CK94" s="266"/>
      <c r="CL94" s="266"/>
      <c r="CM94" s="265" t="s">
        <v>188</v>
      </c>
      <c r="CN94" s="266">
        <f>ROUNDDOWN(FeatSheet!F35,0)</f>
        <v>4</v>
      </c>
      <c r="CO94" s="266"/>
      <c r="CP94" s="266"/>
      <c r="CQ94" s="266"/>
      <c r="CR94" s="265" t="s">
        <v>188</v>
      </c>
      <c r="CS94" s="297"/>
      <c r="CT94" s="297"/>
      <c r="CU94" s="297"/>
      <c r="CV94" s="297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3"/>
      <c r="CZ95" s="71">
        <v>33</v>
      </c>
    </row>
    <row r="96" spans="1:104" ht="12.75" customHeight="1" thickBot="1">
      <c r="A96" s="81"/>
      <c r="B96" s="290" t="s">
        <v>229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2</v>
      </c>
      <c r="CE96" s="271"/>
      <c r="CF96" s="271"/>
      <c r="CG96" s="271"/>
      <c r="CH96" s="265" t="s">
        <v>187</v>
      </c>
      <c r="CI96" s="266">
        <f>FeatSheet!J36-ArCkPen</f>
        <v>0</v>
      </c>
      <c r="CJ96" s="266"/>
      <c r="CK96" s="266"/>
      <c r="CL96" s="266"/>
      <c r="CM96" s="265" t="s">
        <v>188</v>
      </c>
      <c r="CN96" s="266">
        <f>ROUNDDOWN(FeatSheet!F36,0)</f>
        <v>2</v>
      </c>
      <c r="CO96" s="266"/>
      <c r="CP96" s="266"/>
      <c r="CQ96" s="266"/>
      <c r="CR96" s="265" t="s">
        <v>188</v>
      </c>
      <c r="CS96" s="266"/>
      <c r="CT96" s="266"/>
      <c r="CU96" s="266"/>
      <c r="CV96" s="266"/>
      <c r="CW96" s="83"/>
    </row>
    <row r="97" spans="1:104" ht="13.5" customHeight="1" thickBot="1">
      <c r="A97" s="81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230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231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232</v>
      </c>
      <c r="AV97" s="293"/>
      <c r="AW97" s="293"/>
      <c r="AX97" s="293"/>
      <c r="AY97" s="293"/>
      <c r="AZ97" s="293"/>
      <c r="BA97" s="293"/>
      <c r="BB97" s="293"/>
      <c r="BC97" s="293"/>
      <c r="BD97" s="82"/>
      <c r="BE97" s="82"/>
      <c r="BF97" s="82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3"/>
      <c r="CZ97" s="71">
        <v>34</v>
      </c>
    </row>
    <row r="98" spans="1:104" ht="12.75" customHeight="1" thickBot="1">
      <c r="A98" s="81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6</v>
      </c>
      <c r="T98" s="289"/>
      <c r="U98" s="289"/>
      <c r="V98" s="289">
        <f>BAB_1+STRMOD</f>
        <v>6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2"/>
      <c r="BE98" s="82"/>
      <c r="BF98" s="82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6</v>
      </c>
      <c r="CE98" s="271"/>
      <c r="CF98" s="271"/>
      <c r="CG98" s="271"/>
      <c r="CH98" s="265" t="s">
        <v>187</v>
      </c>
      <c r="CI98" s="266">
        <f>FeatSheet!J37</f>
        <v>0</v>
      </c>
      <c r="CJ98" s="266"/>
      <c r="CK98" s="266"/>
      <c r="CL98" s="266"/>
      <c r="CM98" s="265" t="s">
        <v>188</v>
      </c>
      <c r="CN98" s="266">
        <f>ROUNDDOWN(FeatSheet!F37,0)</f>
        <v>4</v>
      </c>
      <c r="CO98" s="266"/>
      <c r="CP98" s="266"/>
      <c r="CQ98" s="266"/>
      <c r="CR98" s="265" t="s">
        <v>188</v>
      </c>
      <c r="CS98" s="297">
        <v>2</v>
      </c>
      <c r="CT98" s="297"/>
      <c r="CU98" s="297"/>
      <c r="CV98" s="297"/>
      <c r="CW98" s="83"/>
    </row>
    <row r="99" spans="1:104" ht="12.75" customHeight="1" thickBot="1">
      <c r="A99" s="81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2"/>
      <c r="BE99" s="82"/>
      <c r="BF99" s="82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3"/>
      <c r="CZ99" s="71">
        <v>35</v>
      </c>
    </row>
    <row r="100" spans="1:104" ht="13.5" customHeight="1" thickBot="1">
      <c r="A100" s="81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2"/>
      <c r="BE100" s="82"/>
      <c r="BF100" s="82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187</v>
      </c>
      <c r="CI100" s="266">
        <f>FeatSheet!J38</f>
        <v>4</v>
      </c>
      <c r="CJ100" s="266"/>
      <c r="CK100" s="266"/>
      <c r="CL100" s="266"/>
      <c r="CM100" s="265" t="s">
        <v>188</v>
      </c>
      <c r="CN100" s="266">
        <f>ROUNDDOWN(FeatSheet!F38,0)</f>
        <v>0</v>
      </c>
      <c r="CO100" s="266"/>
      <c r="CP100" s="266"/>
      <c r="CQ100" s="266"/>
      <c r="CR100" s="265" t="s">
        <v>188</v>
      </c>
      <c r="CS100" s="297"/>
      <c r="CT100" s="297"/>
      <c r="CU100" s="297"/>
      <c r="CV100" s="297"/>
      <c r="CW100" s="83"/>
    </row>
    <row r="101" spans="1:104" ht="13.5" customHeight="1" thickBot="1">
      <c r="A101" s="81"/>
      <c r="B101" s="284" t="s">
        <v>235</v>
      </c>
      <c r="C101" s="284"/>
      <c r="D101" s="284"/>
      <c r="E101" s="284"/>
      <c r="F101" s="284"/>
      <c r="G101" s="285" t="s">
        <v>236</v>
      </c>
      <c r="H101" s="285"/>
      <c r="I101" s="285"/>
      <c r="J101" s="285"/>
      <c r="K101" s="285"/>
      <c r="L101" s="285" t="s">
        <v>237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167</v>
      </c>
      <c r="V101" s="285"/>
      <c r="W101" s="285"/>
      <c r="X101" s="285"/>
      <c r="Y101" s="285"/>
      <c r="Z101" s="285"/>
      <c r="AA101" s="291" t="s">
        <v>238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2"/>
      <c r="BE101" s="82"/>
      <c r="BF101" s="82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3"/>
      <c r="CZ101" s="71">
        <v>36</v>
      </c>
    </row>
    <row r="102" spans="1:104" ht="13.5" customHeight="1" thickBot="1">
      <c r="A102" s="81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2"/>
      <c r="BE102" s="82"/>
      <c r="BF102" s="82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2</v>
      </c>
      <c r="CE102" s="271"/>
      <c r="CF102" s="271"/>
      <c r="CG102" s="271"/>
      <c r="CH102" s="265" t="s">
        <v>187</v>
      </c>
      <c r="CI102" s="266">
        <f>FeatSheet!J39</f>
        <v>0</v>
      </c>
      <c r="CJ102" s="266"/>
      <c r="CK102" s="266"/>
      <c r="CL102" s="266"/>
      <c r="CM102" s="265" t="s">
        <v>188</v>
      </c>
      <c r="CN102" s="266">
        <f>ROUNDDOWN(FeatSheet!F39,0)</f>
        <v>2</v>
      </c>
      <c r="CO102" s="266"/>
      <c r="CP102" s="266"/>
      <c r="CQ102" s="266"/>
      <c r="CR102" s="265" t="s">
        <v>188</v>
      </c>
      <c r="CS102" s="297"/>
      <c r="CT102" s="297"/>
      <c r="CU102" s="297"/>
      <c r="CV102" s="297"/>
      <c r="CW102" s="83" t="s">
        <v>239</v>
      </c>
    </row>
    <row r="103" spans="1:104" ht="12.75" customHeight="1" thickBot="1">
      <c r="A103" s="81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2"/>
      <c r="BE103" s="82"/>
      <c r="BF103" s="82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3"/>
      <c r="CZ103" s="71">
        <v>37</v>
      </c>
    </row>
    <row r="104" spans="1:104" ht="13.5" customHeight="1" thickBot="1">
      <c r="A104" s="81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2"/>
      <c r="BE104" s="82"/>
      <c r="BF104" s="82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7</v>
      </c>
      <c r="CE104" s="271"/>
      <c r="CF104" s="271"/>
      <c r="CG104" s="271"/>
      <c r="CH104" s="265" t="s">
        <v>187</v>
      </c>
      <c r="CI104" s="266">
        <f>FeatSheet!J40</f>
        <v>1</v>
      </c>
      <c r="CJ104" s="266"/>
      <c r="CK104" s="266"/>
      <c r="CL104" s="266"/>
      <c r="CM104" s="265" t="s">
        <v>188</v>
      </c>
      <c r="CN104" s="266">
        <f>ROUNDDOWN(FeatSheet!F40,0)</f>
        <v>4</v>
      </c>
      <c r="CO104" s="266"/>
      <c r="CP104" s="266"/>
      <c r="CQ104" s="266"/>
      <c r="CR104" s="265" t="s">
        <v>188</v>
      </c>
      <c r="CS104" s="297">
        <v>2</v>
      </c>
      <c r="CT104" s="297"/>
      <c r="CU104" s="297"/>
      <c r="CV104" s="297"/>
      <c r="CW104" s="83"/>
    </row>
    <row r="105" spans="1:104" ht="12.75" customHeight="1" thickBo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3"/>
      <c r="CZ105" s="71">
        <v>38</v>
      </c>
    </row>
    <row r="106" spans="1:104" ht="12.75" customHeight="1" thickBot="1">
      <c r="A106" s="81"/>
      <c r="B106" s="290" t="s">
        <v>229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67"/>
      <c r="BH106" s="267"/>
      <c r="BI106" s="268" t="str">
        <f>FeatSheet!C41</f>
        <v>xForm ( body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187</v>
      </c>
      <c r="CI106" s="266">
        <f>FeatSheet!J41</f>
        <v>0</v>
      </c>
      <c r="CJ106" s="266"/>
      <c r="CK106" s="266"/>
      <c r="CL106" s="266"/>
      <c r="CM106" s="265" t="s">
        <v>188</v>
      </c>
      <c r="CN106" s="266">
        <f>ROUNDDOWN(FeatSheet!F41,0)</f>
        <v>0</v>
      </c>
      <c r="CO106" s="266"/>
      <c r="CP106" s="266"/>
      <c r="CQ106" s="266"/>
      <c r="CR106" s="265" t="s">
        <v>188</v>
      </c>
      <c r="CS106" s="297"/>
      <c r="CT106" s="297"/>
      <c r="CU106" s="297"/>
      <c r="CV106" s="297"/>
      <c r="CW106" s="83"/>
    </row>
    <row r="107" spans="1:104" ht="13.5" customHeight="1" thickBot="1">
      <c r="A107" s="81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230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231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232</v>
      </c>
      <c r="AV107" s="293"/>
      <c r="AW107" s="293"/>
      <c r="AX107" s="293"/>
      <c r="AY107" s="293"/>
      <c r="AZ107" s="293"/>
      <c r="BA107" s="293"/>
      <c r="BB107" s="293"/>
      <c r="BC107" s="293"/>
      <c r="BD107" s="82"/>
      <c r="BE107" s="82"/>
      <c r="BF107" s="82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3"/>
      <c r="CZ107" s="71">
        <v>39</v>
      </c>
    </row>
    <row r="108" spans="1:104" ht="12.75" customHeight="1" thickBot="1">
      <c r="A108" s="8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6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2"/>
      <c r="BE108" s="82"/>
      <c r="BF108" s="82"/>
      <c r="BG108" s="267"/>
      <c r="BH108" s="267"/>
      <c r="BI108" s="268" t="str">
        <f>FeatSheet!C42</f>
        <v>xForm ( mind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187</v>
      </c>
      <c r="CI108" s="266">
        <f>FeatSheet!J42</f>
        <v>0</v>
      </c>
      <c r="CJ108" s="266"/>
      <c r="CK108" s="266"/>
      <c r="CL108" s="266"/>
      <c r="CM108" s="265" t="s">
        <v>188</v>
      </c>
      <c r="CN108" s="266">
        <f>ROUNDDOWN(FeatSheet!F42,0)</f>
        <v>0</v>
      </c>
      <c r="CO108" s="266"/>
      <c r="CP108" s="266"/>
      <c r="CQ108" s="266"/>
      <c r="CR108" s="265" t="s">
        <v>188</v>
      </c>
      <c r="CS108" s="297"/>
      <c r="CT108" s="297"/>
      <c r="CU108" s="297"/>
      <c r="CV108" s="297"/>
      <c r="CW108" s="83"/>
    </row>
    <row r="109" spans="1:104" ht="12.75" customHeight="1" thickBot="1">
      <c r="A109" s="81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2"/>
      <c r="BE109" s="82"/>
      <c r="BF109" s="82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3"/>
      <c r="CZ109" s="71">
        <v>40</v>
      </c>
    </row>
    <row r="110" spans="1:104" ht="13.5" customHeight="1" thickBot="1">
      <c r="A110" s="8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2"/>
      <c r="BE110" s="82"/>
      <c r="BF110" s="82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187</v>
      </c>
      <c r="CI110" s="266">
        <f>FeatSheet!J43</f>
        <v>0</v>
      </c>
      <c r="CJ110" s="266"/>
      <c r="CK110" s="266"/>
      <c r="CL110" s="266"/>
      <c r="CM110" s="265" t="s">
        <v>188</v>
      </c>
      <c r="CN110" s="266">
        <f>ROUNDDOWN(FeatSheet!F43,0)</f>
        <v>0</v>
      </c>
      <c r="CO110" s="266"/>
      <c r="CP110" s="266"/>
      <c r="CQ110" s="266"/>
      <c r="CR110" s="265" t="s">
        <v>188</v>
      </c>
      <c r="CS110" s="297"/>
      <c r="CT110" s="297"/>
      <c r="CU110" s="297"/>
      <c r="CV110" s="297"/>
      <c r="CW110" s="83"/>
    </row>
    <row r="111" spans="1:104" ht="13.5" customHeight="1" thickBot="1">
      <c r="A111" s="81"/>
      <c r="B111" s="284" t="s">
        <v>235</v>
      </c>
      <c r="C111" s="284"/>
      <c r="D111" s="284"/>
      <c r="E111" s="284"/>
      <c r="F111" s="284"/>
      <c r="G111" s="285" t="s">
        <v>236</v>
      </c>
      <c r="H111" s="285"/>
      <c r="I111" s="285"/>
      <c r="J111" s="285"/>
      <c r="K111" s="285"/>
      <c r="L111" s="285" t="s">
        <v>237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167</v>
      </c>
      <c r="V111" s="285"/>
      <c r="W111" s="285"/>
      <c r="X111" s="285"/>
      <c r="Y111" s="285"/>
      <c r="Z111" s="285"/>
      <c r="AA111" s="291" t="s">
        <v>238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2"/>
      <c r="BE111" s="82"/>
      <c r="BF111" s="82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3"/>
      <c r="CZ111" s="71">
        <v>41</v>
      </c>
    </row>
    <row r="112" spans="1:104" ht="12.75" customHeight="1" thickBot="1">
      <c r="A112" s="81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2"/>
      <c r="BE112" s="82"/>
      <c r="BF112" s="82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187</v>
      </c>
      <c r="CI112" s="266">
        <f>FeatSheet!J44</f>
        <v>0</v>
      </c>
      <c r="CJ112" s="266"/>
      <c r="CK112" s="266"/>
      <c r="CL112" s="266"/>
      <c r="CM112" s="265" t="s">
        <v>188</v>
      </c>
      <c r="CN112" s="266">
        <f>ROUNDDOWN(FeatSheet!F44,0)</f>
        <v>0</v>
      </c>
      <c r="CO112" s="266"/>
      <c r="CP112" s="266"/>
      <c r="CQ112" s="266"/>
      <c r="CR112" s="265" t="s">
        <v>188</v>
      </c>
      <c r="CS112" s="297"/>
      <c r="CT112" s="297"/>
      <c r="CU112" s="297"/>
      <c r="CV112" s="297"/>
      <c r="CW112" s="83"/>
    </row>
    <row r="113" spans="1:104" ht="12.75" customHeight="1" thickBot="1">
      <c r="A113" s="81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2"/>
      <c r="BE113" s="82"/>
      <c r="BF113" s="82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3"/>
      <c r="CZ113" s="71">
        <v>42</v>
      </c>
    </row>
    <row r="114" spans="1:104" ht="13.5" customHeight="1" thickBot="1">
      <c r="A114" s="81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2"/>
      <c r="BE114" s="82"/>
      <c r="BF114" s="82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187</v>
      </c>
      <c r="CI114" s="266">
        <f>FeatSheet!J45</f>
        <v>0</v>
      </c>
      <c r="CJ114" s="266"/>
      <c r="CK114" s="266"/>
      <c r="CL114" s="266"/>
      <c r="CM114" s="265" t="s">
        <v>188</v>
      </c>
      <c r="CN114" s="266">
        <f>ROUNDDOWN(FeatSheet!F45,0)</f>
        <v>0</v>
      </c>
      <c r="CO114" s="266"/>
      <c r="CP114" s="266"/>
      <c r="CQ114" s="266"/>
      <c r="CR114" s="265" t="s">
        <v>188</v>
      </c>
      <c r="CS114" s="297"/>
      <c r="CT114" s="297"/>
      <c r="CU114" s="297"/>
      <c r="CV114" s="297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3"/>
      <c r="CZ115" s="71">
        <v>43</v>
      </c>
    </row>
    <row r="116" spans="1:104" ht="12.75" customHeight="1" thickBo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187</v>
      </c>
      <c r="CI116" s="266">
        <f>FeatSheet!J46</f>
        <v>0</v>
      </c>
      <c r="CJ116" s="266"/>
      <c r="CK116" s="266"/>
      <c r="CL116" s="266"/>
      <c r="CM116" s="265" t="s">
        <v>188</v>
      </c>
      <c r="CN116" s="266">
        <f>ROUNDDOWN(FeatSheet!F46,0)</f>
        <v>0</v>
      </c>
      <c r="CO116" s="266"/>
      <c r="CP116" s="266"/>
      <c r="CQ116" s="266"/>
      <c r="CR116" s="265" t="s">
        <v>188</v>
      </c>
      <c r="CS116" s="297"/>
      <c r="CT116" s="297"/>
      <c r="CU116" s="297"/>
      <c r="CV116" s="297"/>
      <c r="CW116" s="83"/>
    </row>
    <row r="117" spans="1:104" ht="12.75" customHeight="1" thickBot="1">
      <c r="A117" s="81"/>
      <c r="B117" s="300" t="s">
        <v>240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3"/>
      <c r="CZ117" s="71">
        <v>44</v>
      </c>
    </row>
    <row r="118" spans="1:104" ht="12.75" customHeight="1" thickBot="1">
      <c r="A118" s="81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237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196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241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2"/>
      <c r="BE118" s="82"/>
      <c r="BF118" s="82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187</v>
      </c>
      <c r="CI118" s="266">
        <f>FeatSheet!J47</f>
        <v>0</v>
      </c>
      <c r="CJ118" s="266"/>
      <c r="CK118" s="266"/>
      <c r="CL118" s="266"/>
      <c r="CM118" s="265" t="s">
        <v>188</v>
      </c>
      <c r="CN118" s="266">
        <f>ROUNDDOWN(FeatSheet!F47,0)</f>
        <v>0</v>
      </c>
      <c r="CO118" s="266"/>
      <c r="CP118" s="266"/>
      <c r="CQ118" s="266"/>
      <c r="CR118" s="265" t="s">
        <v>188</v>
      </c>
      <c r="CS118" s="297"/>
      <c r="CT118" s="297"/>
      <c r="CU118" s="297"/>
      <c r="CV118" s="297"/>
      <c r="CW118" s="83"/>
    </row>
    <row r="119" spans="1:104" ht="12.75" customHeight="1" thickBot="1">
      <c r="A119" s="81"/>
      <c r="B119" s="298" t="s">
        <v>242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2"/>
      <c r="BE119" s="82"/>
      <c r="BF119" s="82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3"/>
    </row>
    <row r="120" spans="1:104" ht="12.75" customHeight="1" thickBot="1">
      <c r="A120" s="81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2"/>
      <c r="BE120" s="82"/>
      <c r="BF120" s="82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187</v>
      </c>
      <c r="CI120" s="266">
        <f>FeatSheet!J48</f>
        <v>0</v>
      </c>
      <c r="CJ120" s="266"/>
      <c r="CK120" s="266"/>
      <c r="CL120" s="266"/>
      <c r="CM120" s="265" t="s">
        <v>188</v>
      </c>
      <c r="CN120" s="266">
        <f>ROUNDDOWN(FeatSheet!F48,0)</f>
        <v>0</v>
      </c>
      <c r="CO120" s="266"/>
      <c r="CP120" s="266"/>
      <c r="CQ120" s="266"/>
      <c r="CR120" s="265" t="s">
        <v>188</v>
      </c>
      <c r="CS120" s="297"/>
      <c r="CT120" s="297"/>
      <c r="CU120" s="297"/>
      <c r="CV120" s="297"/>
      <c r="CW120" s="83"/>
    </row>
    <row r="121" spans="1:104" ht="12.75" customHeight="1" thickBot="1">
      <c r="A121" s="8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2"/>
      <c r="BE121" s="82"/>
      <c r="BF121" s="82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3"/>
      <c r="CZ121" s="71">
        <v>45</v>
      </c>
    </row>
    <row r="122" spans="1:104" ht="13.5" customHeight="1" thickBot="1">
      <c r="A122" s="81"/>
      <c r="B122" s="284" t="s">
        <v>243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244</v>
      </c>
      <c r="Q122" s="285"/>
      <c r="R122" s="285"/>
      <c r="S122" s="285"/>
      <c r="T122" s="285"/>
      <c r="U122" s="285" t="s">
        <v>236</v>
      </c>
      <c r="V122" s="285"/>
      <c r="W122" s="285"/>
      <c r="X122" s="285"/>
      <c r="Y122" s="285"/>
      <c r="Z122" s="291" t="s">
        <v>238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2"/>
      <c r="BE122" s="82"/>
      <c r="BF122" s="82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187</v>
      </c>
      <c r="CI122" s="266"/>
      <c r="CJ122" s="266"/>
      <c r="CK122" s="266"/>
      <c r="CL122" s="266"/>
      <c r="CM122" s="265" t="s">
        <v>188</v>
      </c>
      <c r="CN122" s="266">
        <f>ROUNDDOWN(FeatSheet!F49,0)</f>
        <v>0</v>
      </c>
      <c r="CO122" s="266"/>
      <c r="CP122" s="266"/>
      <c r="CQ122" s="266"/>
      <c r="CR122" s="265" t="s">
        <v>188</v>
      </c>
      <c r="CS122" s="297"/>
      <c r="CT122" s="297"/>
      <c r="CU122" s="297"/>
      <c r="CV122" s="297"/>
      <c r="CW122" s="83"/>
    </row>
    <row r="123" spans="1:104" ht="12.75" customHeight="1" thickBot="1">
      <c r="A123" s="81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2"/>
      <c r="BE123" s="82"/>
      <c r="BF123" s="82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3"/>
      <c r="CZ123" s="71">
        <v>46</v>
      </c>
    </row>
    <row r="124" spans="1:104" ht="12.75" customHeight="1" thickBot="1">
      <c r="A124" s="81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2"/>
      <c r="BE124" s="82"/>
      <c r="BF124" s="82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187</v>
      </c>
      <c r="CI124" s="266"/>
      <c r="CJ124" s="266"/>
      <c r="CK124" s="266"/>
      <c r="CL124" s="266"/>
      <c r="CM124" s="265" t="s">
        <v>188</v>
      </c>
      <c r="CN124" s="266">
        <f>ROUNDDOWN(FeatSheet!F50,0)</f>
        <v>0</v>
      </c>
      <c r="CO124" s="266"/>
      <c r="CP124" s="266"/>
      <c r="CQ124" s="266"/>
      <c r="CR124" s="265" t="s">
        <v>188</v>
      </c>
      <c r="CS124" s="297"/>
      <c r="CT124" s="297"/>
      <c r="CU124" s="297"/>
      <c r="CV124" s="297"/>
      <c r="CW124" s="83"/>
    </row>
    <row r="125" spans="1:104" ht="13.5" customHeight="1" thickBot="1">
      <c r="A125" s="81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2"/>
      <c r="BE125" s="82"/>
      <c r="BF125" s="82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3"/>
      <c r="CZ125" s="71">
        <v>47</v>
      </c>
    </row>
    <row r="126" spans="1:104" ht="13.5" customHeight="1" thickBo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187</v>
      </c>
      <c r="CI126" s="297"/>
      <c r="CJ126" s="297"/>
      <c r="CK126" s="297"/>
      <c r="CL126" s="297"/>
      <c r="CM126" s="265" t="s">
        <v>188</v>
      </c>
      <c r="CN126" s="266"/>
      <c r="CO126" s="266"/>
      <c r="CP126" s="266"/>
      <c r="CQ126" s="266"/>
      <c r="CR126" s="265" t="s">
        <v>188</v>
      </c>
      <c r="CS126" s="297"/>
      <c r="CT126" s="297"/>
      <c r="CU126" s="297"/>
      <c r="CV126" s="297"/>
      <c r="CW126" s="83"/>
    </row>
    <row r="127" spans="1:104" ht="12.75" customHeight="1" thickBot="1">
      <c r="A127" s="81"/>
      <c r="B127" s="300" t="s">
        <v>245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3"/>
      <c r="CZ127" s="71">
        <v>48</v>
      </c>
    </row>
    <row r="128" spans="1:104" ht="12.75" customHeight="1" thickBot="1">
      <c r="A128" s="81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196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236</v>
      </c>
      <c r="AI128" s="293"/>
      <c r="AJ128" s="293"/>
      <c r="AK128" s="293"/>
      <c r="AL128" s="293"/>
      <c r="AM128" s="293"/>
      <c r="AN128" s="293" t="s">
        <v>243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2"/>
      <c r="BE128" s="82"/>
      <c r="BF128" s="82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187</v>
      </c>
      <c r="CI128" s="297"/>
      <c r="CJ128" s="297"/>
      <c r="CK128" s="297"/>
      <c r="CL128" s="297"/>
      <c r="CM128" s="265" t="s">
        <v>188</v>
      </c>
      <c r="CN128" s="266"/>
      <c r="CO128" s="266"/>
      <c r="CP128" s="266"/>
      <c r="CQ128" s="266"/>
      <c r="CR128" s="265" t="s">
        <v>188</v>
      </c>
      <c r="CS128" s="297"/>
      <c r="CT128" s="297"/>
      <c r="CU128" s="297"/>
      <c r="CV128" s="297"/>
      <c r="CW128" s="83"/>
    </row>
    <row r="129" spans="1:104" ht="13.5" customHeight="1" thickBot="1">
      <c r="A129" s="81"/>
      <c r="B129" s="298" t="s">
        <v>242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2"/>
      <c r="BE129" s="82"/>
      <c r="BF129" s="82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3"/>
      <c r="CZ129" s="71">
        <v>49</v>
      </c>
    </row>
    <row r="130" spans="1:104" ht="12.75" customHeight="1" thickBot="1">
      <c r="A130" s="81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 thickBot="1">
      <c r="A131" s="81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 thickBot="1">
      <c r="A132" s="81"/>
      <c r="B132" s="307" t="s">
        <v>238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 thickBot="1">
      <c r="A133" s="81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 thickBot="1">
      <c r="A134" s="81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2"/>
      <c r="BE134" s="82"/>
      <c r="BF134" s="82"/>
      <c r="BG134" s="308" t="s">
        <v>246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3"/>
    </row>
    <row r="135" spans="1:104" ht="13.5" customHeight="1" thickBot="1">
      <c r="A135" s="81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2"/>
      <c r="BE135" s="82"/>
      <c r="BF135" s="82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308" t="s">
        <v>247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3"/>
    </row>
    <row r="137" spans="1:104" ht="12.75" customHeight="1">
      <c r="A137" s="81"/>
      <c r="BD137" s="82"/>
      <c r="BE137" s="82"/>
      <c r="BF137" s="82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3"/>
    </row>
    <row r="138" spans="1:104" ht="27">
      <c r="A138" s="81"/>
      <c r="B138" s="101"/>
      <c r="N138" s="305"/>
      <c r="O138" s="305"/>
      <c r="P138" s="305"/>
      <c r="Q138" s="305"/>
      <c r="R138" s="305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.75">
      <c r="A139" s="81"/>
      <c r="B139" s="102"/>
      <c r="BD139" s="82"/>
      <c r="BE139" s="82"/>
      <c r="BF139" s="82"/>
      <c r="CW139" s="83"/>
    </row>
    <row r="140" spans="1:104" ht="13.5" thickBot="1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1" spans="1:104" ht="13.5" thickTop="1"/>
    <row r="147" spans="9:75">
      <c r="I147" s="306" t="str">
        <f>FeatSheet!AE3</f>
        <v xml:space="preserve">Appraise 0, Climb/Jump* 2, Craft ( Tools ) 0, Craft ( B ) 0, Craft ( C ) 0, Craft ( D ) 0, Deception 8, Diplomacy 8, Disguise 7, Escape Artist* 0, Forgery 2, Handle Animal  7, Heal 1, Perception 5, Perform 4, Ride 2, Search 4, Sense Motive 5, Stealth* 4, Swim 2, Urban Lore 4, Use Rope 2, Wilderness Lore 5,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phoneticPr fontId="32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orientation="portrait" horizontalDpi="0" verticalDpi="0" r:id="rId1"/>
  <headerFooter alignWithMargins="0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Q54"/>
  <sheetViews>
    <sheetView zoomScaleSheetLayoutView="75" workbookViewId="0">
      <selection activeCell="A6" sqref="A6"/>
    </sheetView>
  </sheetViews>
  <sheetFormatPr defaultColWidth="8.85546875"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248</v>
      </c>
      <c r="M1" s="8" t="s">
        <v>249</v>
      </c>
      <c r="O1" s="144">
        <f>[0]!INTMOD</f>
        <v>0</v>
      </c>
    </row>
    <row r="2" spans="1:17" ht="13.5" thickBot="1">
      <c r="N2" s="8" t="s">
        <v>250</v>
      </c>
      <c r="O2" s="8" t="s">
        <v>251</v>
      </c>
    </row>
    <row r="3" spans="1:17" ht="13.5" thickBot="1">
      <c r="A3" s="115" t="s">
        <v>252</v>
      </c>
      <c r="B3" s="116" t="s">
        <v>253</v>
      </c>
      <c r="C3" s="117" t="s">
        <v>254</v>
      </c>
      <c r="D3" s="117" t="s">
        <v>255</v>
      </c>
      <c r="E3" s="117" t="s">
        <v>256</v>
      </c>
      <c r="F3" s="117" t="s">
        <v>257</v>
      </c>
      <c r="G3" s="117" t="s">
        <v>258</v>
      </c>
      <c r="H3" s="118" t="s">
        <v>259</v>
      </c>
      <c r="I3" s="119" t="s">
        <v>260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261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262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263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264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265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>
      <c r="A10" s="115" t="s">
        <v>266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267</v>
      </c>
      <c r="N10" s="126"/>
      <c r="O10" s="126"/>
    </row>
    <row r="11" spans="1:17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268</v>
      </c>
      <c r="N11" s="126"/>
      <c r="O11" s="126"/>
    </row>
    <row r="12" spans="1:17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269</v>
      </c>
      <c r="N12" s="126"/>
      <c r="O12" s="126"/>
    </row>
    <row r="13" spans="1:17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270</v>
      </c>
      <c r="N13" s="126"/>
      <c r="O13" s="126"/>
    </row>
    <row r="14" spans="1:17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>
      <c r="A15" s="115" t="s">
        <v>271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272</v>
      </c>
      <c r="N15" s="126"/>
      <c r="O15" s="126"/>
    </row>
    <row r="16" spans="1:17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273</v>
      </c>
    </row>
    <row r="17" spans="1:13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274</v>
      </c>
    </row>
    <row r="18" spans="1:13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275</v>
      </c>
    </row>
    <row r="19" spans="1:13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276</v>
      </c>
    </row>
    <row r="21" spans="1:13">
      <c r="A21" s="115" t="s">
        <v>277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278</v>
      </c>
      <c r="M21" s="8"/>
    </row>
    <row r="22" spans="1:13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279</v>
      </c>
    </row>
    <row r="23" spans="1:13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280</v>
      </c>
    </row>
    <row r="24" spans="1:13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281</v>
      </c>
    </row>
    <row r="25" spans="1:13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282</v>
      </c>
    </row>
    <row r="26" spans="1:13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283</v>
      </c>
    </row>
    <row r="27" spans="1:13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284</v>
      </c>
    </row>
    <row r="28" spans="1:13">
      <c r="A28" s="115" t="s">
        <v>285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286</v>
      </c>
    </row>
    <row r="30" spans="1:13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287</v>
      </c>
    </row>
    <row r="31" spans="1:13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288</v>
      </c>
    </row>
    <row r="32" spans="1:13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289</v>
      </c>
    </row>
    <row r="33" spans="1:17">
      <c r="A33" s="115" t="s">
        <v>264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290</v>
      </c>
    </row>
    <row r="34" spans="1:17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291</v>
      </c>
    </row>
    <row r="35" spans="1:17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292</v>
      </c>
    </row>
    <row r="36" spans="1:17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293</v>
      </c>
    </row>
    <row r="37" spans="1:17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294</v>
      </c>
    </row>
    <row r="38" spans="1:17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295</v>
      </c>
    </row>
    <row r="39" spans="1:17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296</v>
      </c>
    </row>
    <row r="41" spans="1:17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297</v>
      </c>
      <c r="Q41">
        <v>0</v>
      </c>
    </row>
    <row r="42" spans="1:17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298</v>
      </c>
      <c r="Q42" t="s">
        <v>299</v>
      </c>
    </row>
    <row r="43" spans="1:17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300</v>
      </c>
      <c r="Q43" t="s">
        <v>301</v>
      </c>
    </row>
    <row r="44" spans="1:17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>
      <c r="A54" s="143"/>
      <c r="B54" s="142"/>
      <c r="C54" s="138"/>
      <c r="D54" s="138"/>
      <c r="E54" s="138"/>
      <c r="F54" s="138"/>
      <c r="G54" s="138"/>
      <c r="H54" s="139"/>
      <c r="I54" s="140"/>
    </row>
  </sheetData>
  <phoneticPr fontId="32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B1:K42"/>
  <sheetViews>
    <sheetView view="pageBreakPreview" workbookViewId="0">
      <selection activeCell="D6" sqref="D6"/>
    </sheetView>
  </sheetViews>
  <sheetFormatPr defaultColWidth="8.8554687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8.85546875" style="152"/>
  </cols>
  <sheetData>
    <row r="1" spans="2:11" ht="15.75">
      <c r="B1" s="159" t="s">
        <v>302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>
      <c r="B3" s="8" t="s">
        <v>303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304</v>
      </c>
      <c r="C5" s="109"/>
      <c r="D5" s="160">
        <v>1.8</v>
      </c>
      <c r="E5" s="109" t="s">
        <v>305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306</v>
      </c>
      <c r="C6" s="109"/>
      <c r="D6" s="161">
        <v>12</v>
      </c>
      <c r="E6" s="109" t="s">
        <v>307</v>
      </c>
      <c r="F6" s="109"/>
      <c r="G6" s="109"/>
      <c r="H6" s="109"/>
      <c r="I6" s="109"/>
      <c r="J6" s="109"/>
      <c r="K6" s="162"/>
    </row>
    <row r="7" spans="2:11" ht="12.75" customHeight="1">
      <c r="B7" s="109" t="s">
        <v>308</v>
      </c>
      <c r="C7" s="109"/>
      <c r="D7" s="153" t="s">
        <v>309</v>
      </c>
      <c r="E7" s="109" t="s">
        <v>310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311</v>
      </c>
      <c r="C8" s="109"/>
      <c r="D8" s="163">
        <f>'Character Sheet'!CD36</f>
        <v>2</v>
      </c>
      <c r="E8" s="109" t="s">
        <v>312</v>
      </c>
      <c r="F8" s="109"/>
      <c r="G8" s="109"/>
      <c r="H8" s="109"/>
      <c r="I8" s="109"/>
      <c r="J8" s="109"/>
      <c r="K8" s="109"/>
    </row>
    <row r="10" spans="2:11">
      <c r="B10" s="109"/>
      <c r="C10" s="109"/>
      <c r="D10" s="309" t="s">
        <v>313</v>
      </c>
      <c r="E10" s="309"/>
      <c r="F10" s="309"/>
      <c r="G10" s="309"/>
      <c r="H10" s="309"/>
      <c r="I10" s="109"/>
      <c r="J10" s="109"/>
      <c r="K10" s="109"/>
    </row>
    <row r="11" spans="2:11">
      <c r="B11" s="164" t="s">
        <v>314</v>
      </c>
      <c r="C11" s="165" t="s">
        <v>259</v>
      </c>
      <c r="D11" s="166" t="s">
        <v>315</v>
      </c>
      <c r="E11" s="167" t="s">
        <v>316</v>
      </c>
      <c r="F11" s="168" t="s">
        <v>315</v>
      </c>
      <c r="G11" s="168" t="s">
        <v>316</v>
      </c>
      <c r="H11" s="164" t="s">
        <v>317</v>
      </c>
      <c r="I11" s="109"/>
      <c r="J11" s="109"/>
      <c r="K11" s="109"/>
    </row>
    <row r="12" spans="2:11">
      <c r="B12" s="169" t="s">
        <v>318</v>
      </c>
      <c r="C12" s="170" t="s">
        <v>319</v>
      </c>
      <c r="D12" s="166" t="s">
        <v>320</v>
      </c>
      <c r="E12" s="171" t="s">
        <v>321</v>
      </c>
      <c r="F12" s="168" t="s">
        <v>322</v>
      </c>
      <c r="G12" s="168" t="s">
        <v>323</v>
      </c>
      <c r="H12" s="172" t="s">
        <v>324</v>
      </c>
      <c r="I12" s="109"/>
      <c r="J12" s="109"/>
      <c r="K12" s="109"/>
    </row>
    <row r="13" spans="2:11">
      <c r="B13" s="173">
        <v>1</v>
      </c>
      <c r="C13" s="174">
        <f t="shared" ref="C13:C32" si="0">B13+$D$8</f>
        <v>3</v>
      </c>
      <c r="D13" s="175">
        <f>IF($D$7="N",(IF(C13&lt;11,$F$35,$F$35+(C13-10)*0.4))/10*$D$6,(IF(C13&lt;11,$F$35*1.25,$F$35+(C13-10)*0.4))/10*$D$6*1.25)</f>
        <v>2.4000000000000004</v>
      </c>
      <c r="E13" s="175">
        <f>IF($D$7="N",(IF(C13&lt;11,$F$36,$F$36+(C13-10)*0.2))/10*$D$6,(IF(C13&lt;11,$F$36*1.25,$F$36+(C13-10)*0.2))/10*$D$6*1.25)</f>
        <v>1.4400000000000004</v>
      </c>
      <c r="F13" s="175">
        <f>IF($D$7="N",(IF(C13&lt;11,$F$37,$F$37+(C13-10)*0.25*0.4))/10*$D$6,(IF(C13&lt;11,$F$37*1.25,$F$37+(C13-10)*0.25/3))/10*$D$6*1.25)</f>
        <v>0.96</v>
      </c>
      <c r="G13" s="175">
        <f>IF($D$7="N",(IF(C13&lt;11,$F$38,$F$38+(C13-10)*0.125*0.4))/10*$D$6,(IF(C13&lt;11,$F$38*1.25,$F$38+(C13-10)*0.125*0.4))/10*$D$6*1.25)</f>
        <v>0.96</v>
      </c>
      <c r="H13" s="176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177">
        <v>2</v>
      </c>
      <c r="C14" s="178">
        <f t="shared" si="0"/>
        <v>4</v>
      </c>
      <c r="D14" s="179">
        <f>IF($D$7="N",(IF(C14&lt;11,$F$35,$F$35+(C14-10)*0.4))/10*$D$6,(IF(C14&lt;11,$F$35*1.25,$F$35+(C14-10)*0.4))/10*$D$6*1.25)</f>
        <v>2.4000000000000004</v>
      </c>
      <c r="E14" s="179">
        <f t="shared" ref="E14:E32" si="1">IF($D$7="N",(IF(C14&lt;11,$F$36,$F$36+(C14-10)*0.2))/10*$D$6,(IF(C14&lt;11,$F$36*1.25,$F$36+(C14-10)*0.2))/10*$D$6*1.25)</f>
        <v>1.4400000000000004</v>
      </c>
      <c r="F14" s="179">
        <f t="shared" ref="F14:F32" si="2">IF($D$7="N",(IF(C14&lt;11,$F$37,$F$37+(C14-10)*0.25*0.4))/10*$D$6,(IF(C14&lt;11,$F$37*1.25,$F$37+(C14-10)*0.25/3))/10*$D$6*1.25)</f>
        <v>0.96</v>
      </c>
      <c r="G14" s="179">
        <f t="shared" ref="G14:G32" si="3">IF($D$7="N",(IF(C14&lt;11,$F$38,$F$38+(C14-10)*0.125*0.4))/10*$D$6,(IF(C14&lt;11,$F$38*1.25,$F$38+(C14-10)*0.125*0.4))/10*$D$6*1.25)</f>
        <v>0.96</v>
      </c>
      <c r="H14" s="180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177">
        <v>3</v>
      </c>
      <c r="C15" s="178">
        <f t="shared" si="0"/>
        <v>5</v>
      </c>
      <c r="D15" s="179">
        <f t="shared" ref="D15:D32" si="5">IF($D$7="N",(IF(C15&lt;11,$F$35,$F$35+(C15-10)*0.4))/10*$D$6,(IF(C15&lt;11,$F$35*1.25,$F$35+(C15-10)*0.4))/10*$D$6*1.25)</f>
        <v>2.4000000000000004</v>
      </c>
      <c r="E15" s="179">
        <f t="shared" si="1"/>
        <v>1.4400000000000004</v>
      </c>
      <c r="F15" s="179">
        <f t="shared" si="2"/>
        <v>0.96</v>
      </c>
      <c r="G15" s="179">
        <f t="shared" si="3"/>
        <v>0.96</v>
      </c>
      <c r="H15" s="180">
        <f t="shared" si="4"/>
        <v>0.48</v>
      </c>
      <c r="I15" s="109"/>
      <c r="J15" s="109"/>
      <c r="K15" s="109"/>
    </row>
    <row r="16" spans="2:11">
      <c r="B16" s="177">
        <v>4</v>
      </c>
      <c r="C16" s="178">
        <f t="shared" si="0"/>
        <v>6</v>
      </c>
      <c r="D16" s="179">
        <f t="shared" si="5"/>
        <v>2.4000000000000004</v>
      </c>
      <c r="E16" s="179">
        <f t="shared" si="1"/>
        <v>1.4400000000000004</v>
      </c>
      <c r="F16" s="179">
        <f t="shared" si="2"/>
        <v>0.96</v>
      </c>
      <c r="G16" s="179">
        <f t="shared" si="3"/>
        <v>0.96</v>
      </c>
      <c r="H16" s="180">
        <f t="shared" si="4"/>
        <v>0.48</v>
      </c>
      <c r="I16" s="109"/>
      <c r="J16" s="109"/>
      <c r="K16" s="109"/>
    </row>
    <row r="17" spans="2:8">
      <c r="B17" s="177">
        <v>5</v>
      </c>
      <c r="C17" s="178">
        <f t="shared" si="0"/>
        <v>7</v>
      </c>
      <c r="D17" s="179">
        <f t="shared" si="5"/>
        <v>2.4000000000000004</v>
      </c>
      <c r="E17" s="179">
        <f t="shared" si="1"/>
        <v>1.4400000000000004</v>
      </c>
      <c r="F17" s="179">
        <f t="shared" si="2"/>
        <v>0.96</v>
      </c>
      <c r="G17" s="179">
        <f t="shared" si="3"/>
        <v>0.96</v>
      </c>
      <c r="H17" s="180">
        <f t="shared" si="4"/>
        <v>0.48</v>
      </c>
    </row>
    <row r="18" spans="2:8">
      <c r="B18" s="177">
        <v>6</v>
      </c>
      <c r="C18" s="178">
        <f t="shared" si="0"/>
        <v>8</v>
      </c>
      <c r="D18" s="179">
        <f t="shared" si="5"/>
        <v>2.4000000000000004</v>
      </c>
      <c r="E18" s="179">
        <f t="shared" si="1"/>
        <v>1.4400000000000004</v>
      </c>
      <c r="F18" s="179">
        <f t="shared" si="2"/>
        <v>0.96</v>
      </c>
      <c r="G18" s="179">
        <f t="shared" si="3"/>
        <v>0.96</v>
      </c>
      <c r="H18" s="180">
        <f t="shared" si="4"/>
        <v>0.48</v>
      </c>
    </row>
    <row r="19" spans="2:8">
      <c r="B19" s="177">
        <v>7</v>
      </c>
      <c r="C19" s="178">
        <f t="shared" si="0"/>
        <v>9</v>
      </c>
      <c r="D19" s="179">
        <f t="shared" si="5"/>
        <v>2.4000000000000004</v>
      </c>
      <c r="E19" s="179">
        <f t="shared" si="1"/>
        <v>1.4400000000000004</v>
      </c>
      <c r="F19" s="179">
        <f t="shared" si="2"/>
        <v>0.96</v>
      </c>
      <c r="G19" s="179">
        <f t="shared" si="3"/>
        <v>0.96</v>
      </c>
      <c r="H19" s="180">
        <f t="shared" si="4"/>
        <v>0.48</v>
      </c>
    </row>
    <row r="20" spans="2:8">
      <c r="B20" s="177">
        <v>8</v>
      </c>
      <c r="C20" s="178">
        <f t="shared" si="0"/>
        <v>10</v>
      </c>
      <c r="D20" s="179">
        <f t="shared" si="5"/>
        <v>2.4000000000000004</v>
      </c>
      <c r="E20" s="179">
        <f t="shared" si="1"/>
        <v>1.4400000000000004</v>
      </c>
      <c r="F20" s="179">
        <f t="shared" si="2"/>
        <v>0.96</v>
      </c>
      <c r="G20" s="179">
        <f t="shared" si="3"/>
        <v>0.96</v>
      </c>
      <c r="H20" s="180">
        <f t="shared" si="4"/>
        <v>0.48</v>
      </c>
    </row>
    <row r="21" spans="2:8">
      <c r="B21" s="177">
        <v>9</v>
      </c>
      <c r="C21" s="178">
        <f t="shared" si="0"/>
        <v>11</v>
      </c>
      <c r="D21" s="179">
        <f t="shared" si="5"/>
        <v>2.88</v>
      </c>
      <c r="E21" s="179">
        <f t="shared" si="1"/>
        <v>1.6800000000000002</v>
      </c>
      <c r="F21" s="179">
        <f t="shared" si="2"/>
        <v>1.08</v>
      </c>
      <c r="G21" s="179">
        <f t="shared" si="3"/>
        <v>1.02</v>
      </c>
      <c r="H21" s="180">
        <f t="shared" si="4"/>
        <v>0.54</v>
      </c>
    </row>
    <row r="22" spans="2:8">
      <c r="B22" s="177">
        <v>10</v>
      </c>
      <c r="C22" s="178">
        <f t="shared" si="0"/>
        <v>12</v>
      </c>
      <c r="D22" s="179">
        <f t="shared" si="5"/>
        <v>3.3599999999999994</v>
      </c>
      <c r="E22" s="179">
        <f t="shared" si="1"/>
        <v>1.92</v>
      </c>
      <c r="F22" s="179">
        <f t="shared" si="2"/>
        <v>1.2000000000000002</v>
      </c>
      <c r="G22" s="179">
        <f t="shared" si="3"/>
        <v>1.08</v>
      </c>
      <c r="H22" s="180">
        <f t="shared" si="4"/>
        <v>0.60000000000000009</v>
      </c>
    </row>
    <row r="23" spans="2:8">
      <c r="B23" s="177">
        <v>11</v>
      </c>
      <c r="C23" s="178">
        <f t="shared" si="0"/>
        <v>13</v>
      </c>
      <c r="D23" s="179">
        <f t="shared" si="5"/>
        <v>3.84</v>
      </c>
      <c r="E23" s="179">
        <f t="shared" si="1"/>
        <v>2.16</v>
      </c>
      <c r="F23" s="179">
        <f t="shared" si="2"/>
        <v>1.3200000000000003</v>
      </c>
      <c r="G23" s="179">
        <f t="shared" si="3"/>
        <v>1.1400000000000001</v>
      </c>
      <c r="H23" s="180">
        <f t="shared" si="4"/>
        <v>0.66000000000000014</v>
      </c>
    </row>
    <row r="24" spans="2:8">
      <c r="B24" s="177">
        <v>12</v>
      </c>
      <c r="C24" s="178">
        <f t="shared" si="0"/>
        <v>14</v>
      </c>
      <c r="D24" s="179">
        <f t="shared" si="5"/>
        <v>4.32</v>
      </c>
      <c r="E24" s="179">
        <f t="shared" si="1"/>
        <v>2.4000000000000004</v>
      </c>
      <c r="F24" s="179">
        <f t="shared" si="2"/>
        <v>1.4400000000000004</v>
      </c>
      <c r="G24" s="179">
        <f t="shared" si="3"/>
        <v>1.2000000000000002</v>
      </c>
      <c r="H24" s="180">
        <f t="shared" si="4"/>
        <v>0.7200000000000002</v>
      </c>
    </row>
    <row r="25" spans="2:8">
      <c r="B25" s="177">
        <v>13</v>
      </c>
      <c r="C25" s="178">
        <f t="shared" si="0"/>
        <v>15</v>
      </c>
      <c r="D25" s="179">
        <f t="shared" si="5"/>
        <v>4.8000000000000007</v>
      </c>
      <c r="E25" s="179">
        <f t="shared" si="1"/>
        <v>2.6400000000000006</v>
      </c>
      <c r="F25" s="179">
        <f t="shared" si="2"/>
        <v>1.56</v>
      </c>
      <c r="G25" s="179">
        <f t="shared" si="3"/>
        <v>1.2600000000000002</v>
      </c>
      <c r="H25" s="180">
        <f t="shared" si="4"/>
        <v>0.78</v>
      </c>
    </row>
    <row r="26" spans="2:8">
      <c r="B26" s="177">
        <v>14</v>
      </c>
      <c r="C26" s="178">
        <f t="shared" si="0"/>
        <v>16</v>
      </c>
      <c r="D26" s="179">
        <f t="shared" si="5"/>
        <v>5.2800000000000011</v>
      </c>
      <c r="E26" s="179">
        <f t="shared" si="1"/>
        <v>2.8800000000000008</v>
      </c>
      <c r="F26" s="179">
        <f t="shared" si="2"/>
        <v>1.6800000000000002</v>
      </c>
      <c r="G26" s="179">
        <f t="shared" si="3"/>
        <v>1.3200000000000003</v>
      </c>
      <c r="H26" s="180">
        <f t="shared" si="4"/>
        <v>0.84000000000000008</v>
      </c>
    </row>
    <row r="27" spans="2:8">
      <c r="B27" s="177">
        <v>15</v>
      </c>
      <c r="C27" s="178">
        <f t="shared" si="0"/>
        <v>17</v>
      </c>
      <c r="D27" s="179">
        <f t="shared" si="5"/>
        <v>5.7600000000000016</v>
      </c>
      <c r="E27" s="179">
        <f t="shared" si="1"/>
        <v>3.120000000000001</v>
      </c>
      <c r="F27" s="179">
        <f t="shared" si="2"/>
        <v>1.7999999999999998</v>
      </c>
      <c r="G27" s="179">
        <f t="shared" si="3"/>
        <v>1.3800000000000003</v>
      </c>
      <c r="H27" s="180">
        <f t="shared" si="4"/>
        <v>0.89999999999999991</v>
      </c>
    </row>
    <row r="28" spans="2:8">
      <c r="B28" s="177">
        <v>16</v>
      </c>
      <c r="C28" s="178">
        <f t="shared" si="0"/>
        <v>18</v>
      </c>
      <c r="D28" s="179">
        <f t="shared" si="5"/>
        <v>6.24</v>
      </c>
      <c r="E28" s="179">
        <f t="shared" si="1"/>
        <v>3.3600000000000003</v>
      </c>
      <c r="F28" s="179">
        <f t="shared" si="2"/>
        <v>1.92</v>
      </c>
      <c r="G28" s="179">
        <f t="shared" si="3"/>
        <v>1.4400000000000004</v>
      </c>
      <c r="H28" s="180">
        <f t="shared" si="4"/>
        <v>0.96</v>
      </c>
    </row>
    <row r="29" spans="2:8">
      <c r="B29" s="177">
        <v>17</v>
      </c>
      <c r="C29" s="178">
        <f t="shared" si="0"/>
        <v>19</v>
      </c>
      <c r="D29" s="179">
        <f t="shared" si="5"/>
        <v>6.7199999999999989</v>
      </c>
      <c r="E29" s="179">
        <f t="shared" si="1"/>
        <v>3.5999999999999996</v>
      </c>
      <c r="F29" s="179">
        <f t="shared" si="2"/>
        <v>2.04</v>
      </c>
      <c r="G29" s="179">
        <f t="shared" si="3"/>
        <v>1.5</v>
      </c>
      <c r="H29" s="180">
        <f t="shared" si="4"/>
        <v>1.02</v>
      </c>
    </row>
    <row r="30" spans="2:8">
      <c r="B30" s="177">
        <v>18</v>
      </c>
      <c r="C30" s="178">
        <f t="shared" si="0"/>
        <v>20</v>
      </c>
      <c r="D30" s="179">
        <f t="shared" si="5"/>
        <v>7.1999999999999993</v>
      </c>
      <c r="E30" s="179">
        <f t="shared" si="1"/>
        <v>3.84</v>
      </c>
      <c r="F30" s="179">
        <f t="shared" si="2"/>
        <v>2.16</v>
      </c>
      <c r="G30" s="179">
        <f t="shared" si="3"/>
        <v>1.56</v>
      </c>
      <c r="H30" s="180">
        <f t="shared" si="4"/>
        <v>1.08</v>
      </c>
    </row>
    <row r="31" spans="2:8">
      <c r="B31" s="177">
        <v>19</v>
      </c>
      <c r="C31" s="178">
        <f t="shared" si="0"/>
        <v>21</v>
      </c>
      <c r="D31" s="179">
        <f t="shared" si="5"/>
        <v>7.68</v>
      </c>
      <c r="E31" s="179">
        <f t="shared" si="1"/>
        <v>4.08</v>
      </c>
      <c r="F31" s="179">
        <f t="shared" si="2"/>
        <v>2.2800000000000002</v>
      </c>
      <c r="G31" s="179">
        <f t="shared" si="3"/>
        <v>1.62</v>
      </c>
      <c r="H31" s="180">
        <f t="shared" si="4"/>
        <v>1.1400000000000001</v>
      </c>
    </row>
    <row r="32" spans="2:8">
      <c r="B32" s="181">
        <v>20</v>
      </c>
      <c r="C32" s="182">
        <f t="shared" si="0"/>
        <v>22</v>
      </c>
      <c r="D32" s="183">
        <f t="shared" si="5"/>
        <v>8.16</v>
      </c>
      <c r="E32" s="183">
        <f t="shared" si="1"/>
        <v>4.32</v>
      </c>
      <c r="F32" s="183">
        <f t="shared" si="2"/>
        <v>2.4000000000000004</v>
      </c>
      <c r="G32" s="183">
        <f t="shared" si="3"/>
        <v>1.6800000000000002</v>
      </c>
      <c r="H32" s="184">
        <f t="shared" si="4"/>
        <v>1.2000000000000002</v>
      </c>
    </row>
    <row r="33" spans="2:9">
      <c r="B33" s="185"/>
      <c r="C33" s="185"/>
      <c r="D33" s="185"/>
      <c r="E33" s="185"/>
      <c r="F33" s="185"/>
      <c r="G33" s="185"/>
      <c r="H33" s="185"/>
      <c r="I33" s="109"/>
    </row>
    <row r="34" spans="2:9">
      <c r="B34" s="8" t="s">
        <v>325</v>
      </c>
      <c r="C34" s="109"/>
      <c r="D34" s="109"/>
      <c r="E34" s="8" t="s">
        <v>326</v>
      </c>
      <c r="F34" s="8" t="s">
        <v>327</v>
      </c>
      <c r="G34" s="8" t="s">
        <v>328</v>
      </c>
      <c r="H34" s="109"/>
      <c r="I34" s="109"/>
    </row>
    <row r="35" spans="2:9">
      <c r="B35" s="109" t="s">
        <v>329</v>
      </c>
      <c r="C35" s="109"/>
      <c r="D35" s="109"/>
      <c r="E35" s="186">
        <f>$D$5*(6*(6.5/5))</f>
        <v>14.040000000000001</v>
      </c>
      <c r="F35" s="187">
        <v>2</v>
      </c>
      <c r="G35" s="188" t="s">
        <v>330</v>
      </c>
      <c r="H35" s="189"/>
      <c r="I35" s="190"/>
    </row>
    <row r="36" spans="2:9">
      <c r="B36" s="109" t="s">
        <v>331</v>
      </c>
      <c r="C36" s="109"/>
      <c r="D36" s="109"/>
      <c r="E36" s="191">
        <f>$D$5*(2*(6.5/5))</f>
        <v>4.6800000000000006</v>
      </c>
      <c r="F36" s="192">
        <f>3*0.4</f>
        <v>1.2000000000000002</v>
      </c>
      <c r="G36" s="193" t="s">
        <v>332</v>
      </c>
      <c r="H36" s="194"/>
      <c r="I36" s="195"/>
    </row>
    <row r="37" spans="2:9">
      <c r="B37" s="109" t="s">
        <v>333</v>
      </c>
      <c r="C37" s="109"/>
      <c r="D37" s="109"/>
      <c r="E37" s="191">
        <f>$D$5*(1.5*(6.5/5))</f>
        <v>3.5100000000000002</v>
      </c>
      <c r="F37" s="192">
        <f>2*0.4</f>
        <v>0.8</v>
      </c>
      <c r="G37" s="193" t="s">
        <v>334</v>
      </c>
      <c r="H37" s="194"/>
      <c r="I37" s="195"/>
    </row>
    <row r="38" spans="2:9">
      <c r="B38" s="109" t="s">
        <v>335</v>
      </c>
      <c r="C38" s="109"/>
      <c r="D38" s="109"/>
      <c r="E38" s="191">
        <f>$D$5*(1*(6.5/5))</f>
        <v>2.3400000000000003</v>
      </c>
      <c r="F38" s="192">
        <f>2*0.4</f>
        <v>0.8</v>
      </c>
      <c r="G38" s="193" t="s">
        <v>336</v>
      </c>
      <c r="H38" s="194"/>
      <c r="I38" s="195"/>
    </row>
    <row r="39" spans="2:9">
      <c r="B39" s="109" t="s">
        <v>337</v>
      </c>
      <c r="C39" s="109"/>
      <c r="D39" s="109"/>
      <c r="E39" s="196">
        <f>$D$5*(1*(6.5/5))</f>
        <v>2.3400000000000003</v>
      </c>
      <c r="F39" s="197">
        <f>1*0.4</f>
        <v>0.4</v>
      </c>
      <c r="G39" s="198" t="s">
        <v>336</v>
      </c>
      <c r="H39" s="199"/>
      <c r="I39" s="200"/>
    </row>
    <row r="41" spans="2:9">
      <c r="B41" s="201" t="s">
        <v>338</v>
      </c>
      <c r="C41" s="109"/>
      <c r="D41" s="109"/>
      <c r="E41" s="109"/>
      <c r="F41" s="109"/>
      <c r="G41" s="109"/>
      <c r="H41" s="109"/>
      <c r="I41" s="109"/>
    </row>
    <row r="42" spans="2:9">
      <c r="B42" s="202"/>
      <c r="C42" s="201" t="s">
        <v>339</v>
      </c>
      <c r="D42" s="109"/>
      <c r="E42" s="109"/>
      <c r="F42" s="109"/>
      <c r="G42" s="109"/>
      <c r="H42" s="109"/>
      <c r="I42" s="109"/>
    </row>
  </sheetData>
  <mergeCells count="1">
    <mergeCell ref="D10:H10"/>
  </mergeCells>
  <phoneticPr fontId="32" type="noConversion"/>
  <pageMargins left="0.75" right="0.75" top="1" bottom="1" header="0.51180555555555551" footer="0.51180555555555551"/>
  <pageSetup paperSize="9" orientation="portrait" horizontalDpi="0" verticalDpi="0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E9"/>
  <sheetViews>
    <sheetView workbookViewId="0">
      <selection activeCell="E4" sqref="E4"/>
    </sheetView>
  </sheetViews>
  <sheetFormatPr defaultColWidth="8.85546875"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5" t="s">
        <v>340</v>
      </c>
    </row>
    <row r="3" spans="1:5">
      <c r="A3" s="8" t="s">
        <v>341</v>
      </c>
      <c r="E3" s="8" t="s">
        <v>342</v>
      </c>
    </row>
    <row r="4" spans="1:5">
      <c r="A4" s="154" t="s">
        <v>343</v>
      </c>
      <c r="B4" s="154" t="s">
        <v>344</v>
      </c>
      <c r="C4" s="154" t="s">
        <v>345</v>
      </c>
    </row>
    <row r="8" spans="1:5">
      <c r="A8" s="8" t="s">
        <v>346</v>
      </c>
    </row>
    <row r="9" spans="1:5">
      <c r="A9" s="154" t="s">
        <v>347</v>
      </c>
      <c r="B9" s="154" t="s">
        <v>348</v>
      </c>
      <c r="C9" s="154" t="s">
        <v>349</v>
      </c>
    </row>
  </sheetData>
  <phoneticPr fontId="3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/>
  <cp:revision/>
  <dcterms:created xsi:type="dcterms:W3CDTF">2013-08-22T12:06:55Z</dcterms:created>
  <dcterms:modified xsi:type="dcterms:W3CDTF">2019-08-11T10:10:10Z</dcterms:modified>
  <cp:category/>
  <cp:contentStatus/>
</cp:coreProperties>
</file>